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сводные данные 2017" sheetId="1" r:id="rId1"/>
  </sheets>
  <definedNames>
    <definedName name="_xlnm.Print_Titles" localSheetId="0">'сводные данные 2017'!$6:$7</definedName>
    <definedName name="_xlnm.Print_Area" localSheetId="0">'сводные данные 2017'!$A$1:$AH$113</definedName>
  </definedNames>
  <calcPr fullCalcOnLoad="1"/>
</workbook>
</file>

<file path=xl/sharedStrings.xml><?xml version="1.0" encoding="utf-8"?>
<sst xmlns="http://schemas.openxmlformats.org/spreadsheetml/2006/main" count="1208" uniqueCount="218">
  <si>
    <t>тыс.тг</t>
  </si>
  <si>
    <t>%</t>
  </si>
  <si>
    <t>Материальные затраты, всего</t>
  </si>
  <si>
    <t>в том числе:</t>
  </si>
  <si>
    <t>1.1</t>
  </si>
  <si>
    <t>2.1</t>
  </si>
  <si>
    <t>2.2</t>
  </si>
  <si>
    <t xml:space="preserve">Амортизация </t>
  </si>
  <si>
    <t>Ремонт, всего</t>
  </si>
  <si>
    <t>Прочие затраты, всего</t>
  </si>
  <si>
    <t>Расходы периода, всего</t>
  </si>
  <si>
    <t>Расходы на содержание службы сбыта, всего</t>
  </si>
  <si>
    <t>III</t>
  </si>
  <si>
    <t>Всего затрат</t>
  </si>
  <si>
    <t>IV</t>
  </si>
  <si>
    <t>V</t>
  </si>
  <si>
    <t>Всего доходов</t>
  </si>
  <si>
    <t>VI</t>
  </si>
  <si>
    <t>Объемы оказываемых услуг</t>
  </si>
  <si>
    <t>I</t>
  </si>
  <si>
    <t>II</t>
  </si>
  <si>
    <t>Прибыль</t>
  </si>
  <si>
    <t>ВСЕГО ПО РЕГУЛИРУЕМЫМ УСЛУГАМ</t>
  </si>
  <si>
    <t xml:space="preserve">Директор ТОО "Рудненский водоканал"                                     </t>
  </si>
  <si>
    <t>2</t>
  </si>
  <si>
    <t>тыс.м3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</si>
  <si>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</si>
  <si>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</si>
  <si>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</si>
  <si>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</si>
  <si>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</si>
  <si>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</si>
  <si>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</si>
  <si>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</si>
  <si>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</si>
  <si>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</si>
  <si>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</si>
  <si>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</si>
  <si>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</si>
  <si>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Фактически сложившиеся показатели тарифной сметы</t>
  </si>
  <si>
    <t>Ед.   изм.</t>
  </si>
  <si>
    <t>VII</t>
  </si>
  <si>
    <t>VIII</t>
  </si>
  <si>
    <t>Воропаева И.Ю.</t>
  </si>
  <si>
    <t>Наджафова В.В.</t>
  </si>
  <si>
    <t>№ п/п</t>
  </si>
  <si>
    <t>Отклонение +,-</t>
  </si>
  <si>
    <t>Отклонение, в %</t>
  </si>
  <si>
    <t>Причины отклонения</t>
  </si>
  <si>
    <t>Основное сырье</t>
  </si>
  <si>
    <t>Вспомогательные материалы</t>
  </si>
  <si>
    <t>Энергия покупная</t>
  </si>
  <si>
    <t>Теплоэнергия</t>
  </si>
  <si>
    <t>Вода покупная</t>
  </si>
  <si>
    <t>Социальный налог</t>
  </si>
  <si>
    <t>Заработная плата административного персонала</t>
  </si>
  <si>
    <t>Услуги банка</t>
  </si>
  <si>
    <t>5</t>
  </si>
  <si>
    <t>7</t>
  </si>
  <si>
    <t>9</t>
  </si>
  <si>
    <t>Справочно:</t>
  </si>
  <si>
    <t>тенге</t>
  </si>
  <si>
    <t>Затраты на производство товаров и предоставление услуг, всего, в т.ч.</t>
  </si>
  <si>
    <t>1.2.</t>
  </si>
  <si>
    <t>1.3.</t>
  </si>
  <si>
    <t>ГСМ</t>
  </si>
  <si>
    <t>1.4.</t>
  </si>
  <si>
    <t>1.5.</t>
  </si>
  <si>
    <t>1.6.</t>
  </si>
  <si>
    <t xml:space="preserve">Расходы на оплату труда, всего </t>
  </si>
  <si>
    <t>Заработная плата производственного персонала</t>
  </si>
  <si>
    <t>3</t>
  </si>
  <si>
    <t>4</t>
  </si>
  <si>
    <t>4.1</t>
  </si>
  <si>
    <t>Капитальный ремонт, не приводящий к увеличению стоимости основных средств</t>
  </si>
  <si>
    <t>5.1</t>
  </si>
  <si>
    <t>Услуги связи</t>
  </si>
  <si>
    <t>5.2</t>
  </si>
  <si>
    <t>Услуги охраны</t>
  </si>
  <si>
    <t>5.3</t>
  </si>
  <si>
    <t>Коммунальные услуги</t>
  </si>
  <si>
    <t>5.4</t>
  </si>
  <si>
    <t>Услуги сторонних организаций</t>
  </si>
  <si>
    <t>5.5</t>
  </si>
  <si>
    <t>Командировочные расходы</t>
  </si>
  <si>
    <t>5.6</t>
  </si>
  <si>
    <t>Охрана труда и техники безопасности</t>
  </si>
  <si>
    <t>5.7</t>
  </si>
  <si>
    <t>Плата за использование  природных ресурсов</t>
  </si>
  <si>
    <t>5.8</t>
  </si>
  <si>
    <t>Охрана окружающей среды</t>
  </si>
  <si>
    <t>5.9</t>
  </si>
  <si>
    <t>Подготовка кадров</t>
  </si>
  <si>
    <t>5.10</t>
  </si>
  <si>
    <t>Обязательные виды страхования</t>
  </si>
  <si>
    <t>5.11</t>
  </si>
  <si>
    <t>Услуги по ж/сбору при отправке вагонов, лицензии, таможенные сборы</t>
  </si>
  <si>
    <t>5.12</t>
  </si>
  <si>
    <t>Утилизация сточных вод</t>
  </si>
  <si>
    <t>5.13</t>
  </si>
  <si>
    <t>Информационные услуги</t>
  </si>
  <si>
    <t>6</t>
  </si>
  <si>
    <t>Административные расходы, всего</t>
  </si>
  <si>
    <t>Налоги</t>
  </si>
  <si>
    <t>Прочие расходы, всего, в т.ч.:</t>
  </si>
  <si>
    <t>6.7.1</t>
  </si>
  <si>
    <t xml:space="preserve">   Содержание служебного автотранспорта</t>
  </si>
  <si>
    <t>6.7.2</t>
  </si>
  <si>
    <t xml:space="preserve">   Коммунальные услуги</t>
  </si>
  <si>
    <t>6.7.3</t>
  </si>
  <si>
    <t xml:space="preserve">   Расходы на содержание и обслуживание ср.управл., узлов связи, выч.техн. и т.д.</t>
  </si>
  <si>
    <t>6.7.4</t>
  </si>
  <si>
    <t xml:space="preserve">   Обязательные виды страхования</t>
  </si>
  <si>
    <t>6.7.5</t>
  </si>
  <si>
    <t xml:space="preserve">   Командировочные расходы</t>
  </si>
  <si>
    <t>6.7.6</t>
  </si>
  <si>
    <t xml:space="preserve">   Услуги сторонних организаций</t>
  </si>
  <si>
    <t>6.7.7</t>
  </si>
  <si>
    <t xml:space="preserve">   Информационные, консультационные и маркетинговые услуги</t>
  </si>
  <si>
    <t>6.7.8</t>
  </si>
  <si>
    <t xml:space="preserve">   Периодическая печать</t>
  </si>
  <si>
    <t>6.7.9</t>
  </si>
  <si>
    <t xml:space="preserve">   Представительские расходы</t>
  </si>
  <si>
    <t>6.7.10</t>
  </si>
  <si>
    <t xml:space="preserve">   Расходы на услуги связи</t>
  </si>
  <si>
    <t>6.7.11</t>
  </si>
  <si>
    <t xml:space="preserve">   Охрана труда и техники безопасности</t>
  </si>
  <si>
    <t>6.7.12</t>
  </si>
  <si>
    <t xml:space="preserve">   Повышение квалификации</t>
  </si>
  <si>
    <t>Услуги банка, инкассация</t>
  </si>
  <si>
    <t>7.6.1</t>
  </si>
  <si>
    <t xml:space="preserve">   ГСМ</t>
  </si>
  <si>
    <t>7.6.2</t>
  </si>
  <si>
    <t>7.6.3</t>
  </si>
  <si>
    <t>7.6.4</t>
  </si>
  <si>
    <t>7.6.5</t>
  </si>
  <si>
    <t xml:space="preserve">   Услуги связи</t>
  </si>
  <si>
    <t>7.6.6</t>
  </si>
  <si>
    <t xml:space="preserve">   Расходы на содержание и обслуживание тех.ср.управл., узлов связи, выч.техн. и т.д.</t>
  </si>
  <si>
    <t>7.6.7</t>
  </si>
  <si>
    <t xml:space="preserve">   Аренда </t>
  </si>
  <si>
    <t>7.6.8</t>
  </si>
  <si>
    <t xml:space="preserve">   Другие затраты</t>
  </si>
  <si>
    <t>Регулируемая база задействованных активов</t>
  </si>
  <si>
    <t>Нормативные технические потери</t>
  </si>
  <si>
    <t>IX</t>
  </si>
  <si>
    <t>Тариф (без НДС)</t>
  </si>
  <si>
    <t>8</t>
  </si>
  <si>
    <t>Среднесписочная численность персонала</t>
  </si>
  <si>
    <t>8.1</t>
  </si>
  <si>
    <t>производственного персонала</t>
  </si>
  <si>
    <t>8.2</t>
  </si>
  <si>
    <t xml:space="preserve">административного персонала </t>
  </si>
  <si>
    <t>8.3</t>
  </si>
  <si>
    <t>персонал службы сбыта</t>
  </si>
  <si>
    <t>Среднемесячная заработная плата, всего</t>
  </si>
  <si>
    <t>9.1</t>
  </si>
  <si>
    <t>9.2</t>
  </si>
  <si>
    <t>9.3</t>
  </si>
  <si>
    <t>персонала службы сбыта</t>
  </si>
  <si>
    <t xml:space="preserve">Наименование показателей </t>
  </si>
  <si>
    <t>1.1.</t>
  </si>
  <si>
    <t xml:space="preserve">Главный бухгалтер </t>
  </si>
  <si>
    <t>тенге/м3</t>
  </si>
  <si>
    <t>человек</t>
  </si>
  <si>
    <t>ОТЧЕТ ОБ ИСПОЛНЕНИИ ТАРИФНОЙ СМЕТЫ НА УСЛУГИ ВОДОХОЗЯЙСТВЕННОЙ И КАНАЛИЗАЦИОННОЙ СИСТЕМ за 2012 г.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</si>
  <si>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</si>
  <si>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</si>
  <si>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Зам.директора по экономике и финансам</t>
  </si>
  <si>
    <t>Услуги по отводу и очистке сточных вод</t>
  </si>
  <si>
    <t xml:space="preserve">Предусмотрено в утвержденной тарифной смете 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</si>
  <si>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           </t>
  </si>
  <si>
    <t>Индекс ИТС-1</t>
  </si>
  <si>
    <t>Периодичность: годовая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</si>
  <si>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</si>
  <si>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                                                        </t>
  </si>
  <si>
    <t xml:space="preserve">Наименование организации </t>
  </si>
  <si>
    <t>ТОО "Рудненский Водоканал"</t>
  </si>
  <si>
    <t>Адрес</t>
  </si>
  <si>
    <t>111500, г.Рудный, Костанайской области, ул.40 лет Октября , строение 2/1</t>
  </si>
  <si>
    <t>Телефон, факс</t>
  </si>
  <si>
    <t>2 48 08</t>
  </si>
  <si>
    <t>Адрес электронной почты</t>
  </si>
  <si>
    <t>rudvodokanal.kz</t>
  </si>
  <si>
    <t>сумма недополученного дохода за период с 01.01.2016 до 31.03.2016, с 01.08.2016 г. по 01.09.2016 г.</t>
  </si>
  <si>
    <t>В действующем тарифе утверждена не вся амортизация по расчету</t>
  </si>
  <si>
    <t>Искуженов С.К.</t>
  </si>
  <si>
    <t>Отчетный период 2017 год</t>
  </si>
  <si>
    <t xml:space="preserve">Сумма необоснованно полученного  дохода </t>
  </si>
  <si>
    <t>За счет увеличения объемов по захоронению отходов</t>
  </si>
  <si>
    <t>Снижение затрат по ж/д сборам, в связи с уменьшением количества отправленных вагонов, в связи со снижением расхода реагентов, вызыванного снижением объема оказанных услуг</t>
  </si>
  <si>
    <t xml:space="preserve">За счет увеличения услуг по техническому обслуживанию систем видеонаблюдения, тревожной сигнализации. </t>
  </si>
  <si>
    <t xml:space="preserve">За счет платы в фонд окружающей среды. </t>
  </si>
  <si>
    <t>среднемесячная заработная плата</t>
  </si>
  <si>
    <t>численность производственного персонала</t>
  </si>
  <si>
    <t>2.3</t>
  </si>
  <si>
    <t>Заработная плата вспомогательнного персонала</t>
  </si>
  <si>
    <t>численность вспомогательнного персонала</t>
  </si>
  <si>
    <t>2.4</t>
  </si>
  <si>
    <t>численность административного персонала</t>
  </si>
  <si>
    <t>Заработная плата персонала ослуживающих производств</t>
  </si>
  <si>
    <t>численность</t>
  </si>
  <si>
    <t>среднемесячная заработная плата производственного персонала</t>
  </si>
  <si>
    <t>среднемесячная заработная плата вспомогательнного персонала</t>
  </si>
  <si>
    <t>За счет налога на имущество</t>
  </si>
  <si>
    <t xml:space="preserve">За счет увеличения объемов по захоронению отходов </t>
  </si>
  <si>
    <t>За счет увеличения расхода канц.товаров, др. материалов.</t>
  </si>
  <si>
    <t>Экономия сложилась по затратам по тепловой энергии, в связи с реализацией мероприятий по энергоэффективности, в соответствии с рекомендациями Энергетической экспертизы – установкой прибора учета тепловой энергии</t>
  </si>
  <si>
    <t>За счет увеличения затрат по статьям: пусконаладочные работы, (затраты на регистрацию прав собственности на землю, монтаж пожарной сигнализации); химанализ, автоуслуги.</t>
  </si>
  <si>
    <t>За счет увеличения объема утилизации на 19832 тыс.тг., и роста цен на 10122 тыс.тг.,в технологической цепочке отвода очищенных сточных вод от очистных сооружений ТОО «Рудненский водоканал» до конечной точки – Васильевского испарителя появился новый услугодатель – ГКП «Железорудная ТЭК» акимата города Рудного, и эти затраты не предусмотрены утвержденной на 2016-2020 годы тарифной сметой.</t>
  </si>
  <si>
    <t>За счет увеличения командировочных расходов связанных с производственной необходимостью</t>
  </si>
  <si>
    <t>За счет сокращения объемов оказываемых регулируемых услуг по причинам, не зависящим  от СЕМ, реализация мероприятий энергоаудита</t>
  </si>
  <si>
    <t>За счет снижения объема оказанных услуг по причинам, не зависящим от СЕМ, снижения технических потерь</t>
  </si>
  <si>
    <t>Выполнение необходимых ремонтов в аварийном порядке</t>
  </si>
  <si>
    <t>Добавился конвергированный пакет мобильной и фиксированной связи (интернет)</t>
  </si>
  <si>
    <t>За счет снижения объемов оказанных услуг по причинам, не зависящим от СЕМ, реализацией мероприятий энергоаудита</t>
  </si>
  <si>
    <t>За счет снижения объемов оказанных услуг по причинам, не зависящим от СЕМ, реалзация мероприятий энергоаудита</t>
  </si>
  <si>
    <t>ОТЧЕТ ОБ ИСПОЛНЕНИИ ТАРИФНОЙ СМЕТЫ НА УСЛУГИ  ПО ОТВОДУ И ОЧИСТКЕ СТОЧНЫХ ВОД за 2017 г.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</si>
</sst>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0"/>
    <numFmt numFmtId="195" formatCode="0.0%"/>
    <numFmt numFmtId="196" formatCode="_(* #,##0.0_);_(* \(#,##0.0\);_(* &quot;-&quot;??_);_(@_)"/>
    <numFmt numFmtId="197" formatCode="_(* #,##0_);_(* \(#,##0\);_(* &quot;-&quot;??_);_(@_)"/>
    <numFmt numFmtId="198" formatCode="0.0000"/>
    <numFmt numFmtId="199" formatCode="0.000"/>
    <numFmt numFmtId="200" formatCode="0.00000"/>
    <numFmt numFmtId="201" formatCode="0.000%"/>
    <numFmt numFmtId="202" formatCode="_(* #,##0.000_);_(* \(#,##0.000\);_(* &quot;-&quot;??_);_(@_)"/>
    <numFmt numFmtId="203" formatCode="_-* #,##0_р_._-;\-* #,##0_р_._-;_-* &quot;-&quot;??_р_._-;_-@_-"/>
    <numFmt numFmtId="204" formatCode="0.0000000"/>
    <numFmt numFmtId="205" formatCode="0.000000"/>
    <numFmt numFmtId="206" formatCode="0.00000000"/>
    <numFmt numFmtId="207" formatCode="#,##0.00;[Red]\-#,##0.00"/>
  </numFmts>
  <fonts count="64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 Cyr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b/>
      <sz val="7"/>
      <name val="Arial Cyr"/>
      <family val="2"/>
    </font>
    <font>
      <b/>
      <sz val="7"/>
      <name val="Arial CYR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33CC"/>
      <name val="Arial"/>
      <family val="2"/>
    </font>
    <font>
      <b/>
      <sz val="8"/>
      <color rgb="FF0033CC"/>
      <name val="Arial"/>
      <family val="2"/>
    </font>
    <font>
      <b/>
      <sz val="8"/>
      <color theme="5" tint="-0.24997000396251678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4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49" fontId="3" fillId="0" borderId="0" xfId="53" applyNumberFormat="1" applyFont="1" applyFill="1" applyAlignment="1">
      <alignment vertical="center"/>
      <protection/>
    </xf>
    <xf numFmtId="3" fontId="2" fillId="0" borderId="0" xfId="54" applyNumberFormat="1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>
      <alignment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9" fillId="0" borderId="0" xfId="54" applyFont="1" applyFill="1" applyAlignment="1">
      <alignment vertical="center"/>
      <protection/>
    </xf>
    <xf numFmtId="3" fontId="3" fillId="0" borderId="0" xfId="53" applyNumberFormat="1" applyFont="1" applyFill="1" applyBorder="1" applyAlignment="1">
      <alignment horizontal="left" vertical="center" wrapText="1"/>
      <protection/>
    </xf>
    <xf numFmtId="3" fontId="4" fillId="0" borderId="0" xfId="53" applyNumberFormat="1" applyFont="1" applyFill="1" applyAlignment="1">
      <alignment horizontal="left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9" fontId="4" fillId="0" borderId="0" xfId="53" applyNumberFormat="1" applyFont="1" applyFill="1" applyAlignment="1">
      <alignment horizontal="left" vertical="center" wrapText="1"/>
      <protection/>
    </xf>
    <xf numFmtId="9" fontId="3" fillId="0" borderId="0" xfId="53" applyNumberFormat="1" applyFont="1" applyFill="1" applyAlignment="1">
      <alignment horizontal="center" vertical="center"/>
      <protection/>
    </xf>
    <xf numFmtId="9" fontId="2" fillId="0" borderId="0" xfId="54" applyNumberFormat="1" applyFont="1" applyFill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9" fontId="6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88" fontId="3" fillId="0" borderId="10" xfId="53" applyNumberFormat="1" applyFont="1" applyFill="1" applyBorder="1" applyAlignment="1">
      <alignment horizontal="center" vertical="center" wrapText="1"/>
      <protection/>
    </xf>
    <xf numFmtId="195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left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188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horizontal="justify"/>
    </xf>
    <xf numFmtId="0" fontId="16" fillId="0" borderId="0" xfId="54" applyFont="1" applyFill="1" applyAlignment="1">
      <alignment vertical="center"/>
      <protection/>
    </xf>
    <xf numFmtId="4" fontId="15" fillId="0" borderId="10" xfId="53" applyNumberFormat="1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vertical="center"/>
      <protection/>
    </xf>
    <xf numFmtId="197" fontId="13" fillId="0" borderId="10" xfId="64" applyNumberFormat="1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197" fontId="13" fillId="0" borderId="0" xfId="64" applyNumberFormat="1" applyFont="1" applyFill="1" applyBorder="1" applyAlignment="1">
      <alignment horizontal="center" vertical="center" wrapText="1"/>
    </xf>
    <xf numFmtId="3" fontId="13" fillId="0" borderId="0" xfId="53" applyNumberFormat="1" applyFont="1" applyFill="1" applyBorder="1" applyAlignment="1">
      <alignment horizontal="center" vertical="center" wrapText="1"/>
      <protection/>
    </xf>
    <xf numFmtId="188" fontId="13" fillId="0" borderId="0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left" vertical="center" wrapText="1"/>
      <protection/>
    </xf>
    <xf numFmtId="188" fontId="19" fillId="0" borderId="10" xfId="53" applyNumberFormat="1" applyFont="1" applyFill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97" fontId="58" fillId="0" borderId="10" xfId="64" applyNumberFormat="1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4" fontId="19" fillId="0" borderId="10" xfId="53" applyNumberFormat="1" applyFont="1" applyFill="1" applyBorder="1" applyAlignment="1">
      <alignment horizontal="center" vertical="center" wrapText="1"/>
      <protection/>
    </xf>
    <xf numFmtId="188" fontId="58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59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64" applyNumberFormat="1" applyFont="1" applyFill="1" applyBorder="1" applyAlignment="1">
      <alignment horizontal="center" vertical="center" wrapText="1"/>
    </xf>
    <xf numFmtId="3" fontId="19" fillId="0" borderId="10" xfId="53" applyNumberFormat="1" applyFont="1" applyFill="1" applyBorder="1" applyAlignment="1">
      <alignment horizontal="center" vertical="center" wrapText="1"/>
      <protection/>
    </xf>
    <xf numFmtId="3" fontId="60" fillId="0" borderId="10" xfId="53" applyNumberFormat="1" applyFont="1" applyFill="1" applyBorder="1" applyAlignment="1">
      <alignment horizontal="center" vertical="center" wrapText="1"/>
      <protection/>
    </xf>
    <xf numFmtId="188" fontId="61" fillId="0" borderId="10" xfId="53" applyNumberFormat="1" applyFont="1" applyFill="1" applyBorder="1" applyAlignment="1">
      <alignment horizontal="center" vertical="center" wrapText="1"/>
      <protection/>
    </xf>
    <xf numFmtId="188" fontId="13" fillId="34" borderId="10" xfId="53" applyNumberFormat="1" applyFont="1" applyFill="1" applyBorder="1" applyAlignment="1">
      <alignment horizontal="center" vertical="center" wrapText="1"/>
      <protection/>
    </xf>
    <xf numFmtId="3" fontId="62" fillId="0" borderId="10" xfId="53" applyNumberFormat="1" applyFont="1" applyFill="1" applyBorder="1" applyAlignment="1">
      <alignment horizontal="center" vertical="center" wrapText="1"/>
      <protection/>
    </xf>
    <xf numFmtId="3" fontId="13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197" fontId="13" fillId="34" borderId="10" xfId="64" applyNumberFormat="1" applyFont="1" applyFill="1" applyBorder="1" applyAlignment="1">
      <alignment horizontal="center" vertical="center" wrapText="1"/>
    </xf>
    <xf numFmtId="4" fontId="13" fillId="34" borderId="10" xfId="53" applyNumberFormat="1" applyFont="1" applyFill="1" applyBorder="1" applyAlignment="1">
      <alignment horizontal="center" vertical="center" wrapText="1"/>
      <protection/>
    </xf>
    <xf numFmtId="3" fontId="62" fillId="34" borderId="10" xfId="53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justify"/>
    </xf>
    <xf numFmtId="0" fontId="14" fillId="34" borderId="10" xfId="0" applyFont="1" applyFill="1" applyBorder="1" applyAlignment="1">
      <alignment horizontal="justify" vertical="center"/>
    </xf>
    <xf numFmtId="3" fontId="3" fillId="34" borderId="10" xfId="53" applyNumberFormat="1" applyFont="1" applyFill="1" applyBorder="1" applyAlignment="1">
      <alignment horizontal="left" vertical="center" wrapText="1"/>
      <protection/>
    </xf>
    <xf numFmtId="0" fontId="5" fillId="34" borderId="0" xfId="54" applyFont="1" applyFill="1" applyAlignment="1">
      <alignment vertical="center"/>
      <protection/>
    </xf>
    <xf numFmtId="3" fontId="14" fillId="34" borderId="10" xfId="53" applyNumberFormat="1" applyFont="1" applyFill="1" applyBorder="1" applyAlignment="1">
      <alignment horizontal="left" vertical="center" wrapText="1"/>
      <protection/>
    </xf>
    <xf numFmtId="4" fontId="3" fillId="34" borderId="10" xfId="5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justify" vertical="center"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/>
      <protection/>
    </xf>
    <xf numFmtId="9" fontId="3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188" fontId="63" fillId="0" borderId="10" xfId="53" applyNumberFormat="1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Alignment="1">
      <alignment vertical="center"/>
      <protection/>
    </xf>
    <xf numFmtId="49" fontId="2" fillId="0" borderId="0" xfId="54" applyNumberFormat="1" applyFont="1" applyFill="1" applyAlignment="1">
      <alignment horizontal="right" vertical="center"/>
      <protection/>
    </xf>
    <xf numFmtId="188" fontId="63" fillId="0" borderId="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vertical="top" wrapText="1"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2" fillId="0" borderId="0" xfId="54" applyFont="1" applyFill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3" fontId="3" fillId="0" borderId="0" xfId="53" applyNumberFormat="1" applyFont="1" applyFill="1" applyBorder="1" applyAlignment="1">
      <alignment horizontal="left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53" applyFont="1" applyFill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left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водные данные. пересмотр с 01.04.06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Y127"/>
  <sheetViews>
    <sheetView tabSelected="1" view="pageBreakPreview" zoomScale="99" zoomScaleNormal="125" zoomScaleSheetLayoutView="99" zoomScalePageLayoutView="0" workbookViewId="0" topLeftCell="A1">
      <selection activeCell="I8" sqref="I8"/>
    </sheetView>
  </sheetViews>
  <sheetFormatPr defaultColWidth="8.00390625" defaultRowHeight="20.25" customHeight="1"/>
  <cols>
    <col min="1" max="1" width="4.8515625" style="8" customWidth="1"/>
    <col min="2" max="2" width="34.00390625" style="10" customWidth="1"/>
    <col min="3" max="3" width="5.8515625" style="1" customWidth="1"/>
    <col min="4" max="4" width="12.57421875" style="1" customWidth="1"/>
    <col min="5" max="5" width="11.57421875" style="1" customWidth="1"/>
    <col min="6" max="6" width="10.28125" style="1" customWidth="1"/>
    <col min="7" max="7" width="10.28125" style="24" customWidth="1"/>
    <col min="8" max="8" width="10.28125" style="24" hidden="1" customWidth="1"/>
    <col min="9" max="9" width="54.57421875" style="1" customWidth="1"/>
    <col min="10" max="10" width="5.421875" style="1" customWidth="1"/>
    <col min="11" max="11" width="31.140625" style="1" customWidth="1"/>
    <col min="12" max="12" width="5.8515625" style="15" customWidth="1"/>
    <col min="13" max="13" width="10.57421875" style="1" customWidth="1"/>
    <col min="14" max="14" width="10.28125" style="6" customWidth="1"/>
    <col min="15" max="15" width="8.140625" style="6" customWidth="1"/>
    <col min="16" max="16" width="8.8515625" style="24" customWidth="1"/>
    <col min="17" max="17" width="8.8515625" style="24" hidden="1" customWidth="1"/>
    <col min="18" max="18" width="57.57421875" style="6" customWidth="1"/>
    <col min="19" max="19" width="4.8515625" style="1" customWidth="1"/>
    <col min="20" max="20" width="32.140625" style="1" customWidth="1"/>
    <col min="21" max="21" width="6.28125" style="15" customWidth="1"/>
    <col min="22" max="22" width="10.140625" style="1" customWidth="1"/>
    <col min="23" max="24" width="9.57421875" style="6" customWidth="1"/>
    <col min="25" max="25" width="9.28125" style="24" customWidth="1"/>
    <col min="26" max="26" width="9.28125" style="24" hidden="1" customWidth="1"/>
    <col min="27" max="27" width="58.28125" style="6" customWidth="1"/>
    <col min="28" max="28" width="4.140625" style="1" customWidth="1"/>
    <col min="29" max="29" width="34.57421875" style="1" customWidth="1"/>
    <col min="30" max="30" width="6.7109375" style="15" customWidth="1"/>
    <col min="31" max="32" width="11.00390625" style="1" customWidth="1"/>
    <col min="33" max="33" width="9.140625" style="1" customWidth="1"/>
    <col min="34" max="34" width="9.140625" style="24" customWidth="1"/>
    <col min="35" max="35" width="25.57421875" style="1" customWidth="1"/>
    <col min="36" max="16384" width="8.00390625" style="1" customWidth="1"/>
  </cols>
  <sheetData>
    <row r="1" spans="1:77" s="37" customFormat="1" ht="24" customHeight="1">
      <c r="A1" s="12"/>
      <c r="B1" s="115" t="s">
        <v>171</v>
      </c>
      <c r="C1" s="115"/>
      <c r="D1" s="115"/>
      <c r="E1" s="115"/>
      <c r="F1" s="115"/>
      <c r="G1" s="115"/>
      <c r="H1" s="115"/>
      <c r="I1" s="115"/>
      <c r="J1" s="12"/>
      <c r="K1" s="115" t="s">
        <v>174</v>
      </c>
      <c r="L1" s="115"/>
      <c r="M1" s="115"/>
      <c r="N1" s="115"/>
      <c r="O1" s="115"/>
      <c r="P1" s="115"/>
      <c r="Q1" s="115"/>
      <c r="R1" s="115"/>
      <c r="S1" s="116" t="s">
        <v>175</v>
      </c>
      <c r="T1" s="116"/>
      <c r="U1" s="116"/>
      <c r="V1" s="116"/>
      <c r="W1" s="116"/>
      <c r="X1" s="116"/>
      <c r="Y1" s="116"/>
      <c r="Z1" s="116"/>
      <c r="AA1" s="116"/>
      <c r="AB1" s="118" t="s">
        <v>217</v>
      </c>
      <c r="AC1" s="118"/>
      <c r="AD1" s="118"/>
      <c r="AE1" s="118"/>
      <c r="AF1" s="118"/>
      <c r="AG1" s="118"/>
      <c r="AH1" s="118"/>
      <c r="AI1" s="12"/>
      <c r="AJ1" s="118" t="s">
        <v>165</v>
      </c>
      <c r="AK1" s="118"/>
      <c r="AL1" s="118"/>
      <c r="AM1" s="118"/>
      <c r="AN1" s="118"/>
      <c r="AO1" s="118"/>
      <c r="AP1" s="118"/>
      <c r="AQ1" s="12"/>
      <c r="AR1" s="12"/>
      <c r="AS1" s="12"/>
      <c r="AT1" s="12"/>
      <c r="AU1" s="12"/>
      <c r="AV1" s="12"/>
      <c r="AW1" s="12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2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</row>
    <row r="2" spans="1:34" s="7" customFormat="1" ht="12" customHeight="1">
      <c r="A2" s="3"/>
      <c r="B2" s="97" t="s">
        <v>166</v>
      </c>
      <c r="C2" s="96"/>
      <c r="D2" s="11"/>
      <c r="E2" s="11"/>
      <c r="F2" s="11"/>
      <c r="G2" s="22"/>
      <c r="H2" s="22"/>
      <c r="I2" s="11"/>
      <c r="J2" s="3"/>
      <c r="K2" s="117" t="s">
        <v>167</v>
      </c>
      <c r="L2" s="117"/>
      <c r="M2" s="117"/>
      <c r="N2" s="117"/>
      <c r="O2" s="117"/>
      <c r="P2" s="117"/>
      <c r="Q2" s="117"/>
      <c r="R2" s="117"/>
      <c r="S2" s="3"/>
      <c r="T2" s="117" t="s">
        <v>169</v>
      </c>
      <c r="U2" s="117"/>
      <c r="V2" s="11"/>
      <c r="W2" s="17"/>
      <c r="X2" s="17"/>
      <c r="Y2" s="22"/>
      <c r="Z2" s="22"/>
      <c r="AA2" s="17"/>
      <c r="AB2" s="3"/>
      <c r="AC2" s="117" t="s">
        <v>22</v>
      </c>
      <c r="AD2" s="117"/>
      <c r="AE2" s="4"/>
      <c r="AF2" s="11"/>
      <c r="AH2" s="22"/>
    </row>
    <row r="3" spans="1:34" s="7" customFormat="1" ht="12" customHeight="1">
      <c r="A3" s="3"/>
      <c r="B3" s="97" t="s">
        <v>187</v>
      </c>
      <c r="C3" s="96"/>
      <c r="D3" s="11"/>
      <c r="E3" s="11"/>
      <c r="F3" s="11"/>
      <c r="G3" s="22"/>
      <c r="H3" s="22"/>
      <c r="I3" s="11"/>
      <c r="J3" s="3"/>
      <c r="K3" s="97" t="s">
        <v>187</v>
      </c>
      <c r="L3" s="11"/>
      <c r="M3" s="11"/>
      <c r="N3" s="11"/>
      <c r="O3" s="11"/>
      <c r="P3" s="11"/>
      <c r="Q3" s="11"/>
      <c r="R3" s="11"/>
      <c r="S3" s="3"/>
      <c r="T3" s="97" t="s">
        <v>187</v>
      </c>
      <c r="U3" s="11"/>
      <c r="V3" s="11"/>
      <c r="W3" s="17"/>
      <c r="X3" s="17"/>
      <c r="Y3" s="22"/>
      <c r="Z3" s="22"/>
      <c r="AA3" s="17"/>
      <c r="AB3" s="3"/>
      <c r="AC3" s="11"/>
      <c r="AD3" s="11"/>
      <c r="AE3" s="4"/>
      <c r="AF3" s="11"/>
      <c r="AH3" s="22"/>
    </row>
    <row r="4" spans="1:34" ht="12" customHeight="1">
      <c r="A4" s="2"/>
      <c r="B4" s="102" t="s">
        <v>172</v>
      </c>
      <c r="C4" s="2"/>
      <c r="D4" s="2"/>
      <c r="E4" s="2"/>
      <c r="F4" s="2"/>
      <c r="G4" s="23"/>
      <c r="H4" s="23"/>
      <c r="I4" s="2"/>
      <c r="J4" s="2"/>
      <c r="K4" s="102" t="s">
        <v>172</v>
      </c>
      <c r="L4" s="14"/>
      <c r="M4" s="2"/>
      <c r="N4" s="18"/>
      <c r="O4" s="18"/>
      <c r="P4" s="23"/>
      <c r="Q4" s="23"/>
      <c r="R4" s="18"/>
      <c r="S4" s="2"/>
      <c r="T4" s="102" t="s">
        <v>172</v>
      </c>
      <c r="U4" s="14"/>
      <c r="V4" s="2"/>
      <c r="W4" s="18"/>
      <c r="X4" s="18"/>
      <c r="Y4" s="23"/>
      <c r="Z4" s="23"/>
      <c r="AA4" s="18"/>
      <c r="AB4" s="2"/>
      <c r="AC4" s="5"/>
      <c r="AD4" s="14"/>
      <c r="AE4" s="2"/>
      <c r="AF4" s="2"/>
      <c r="AH4" s="23"/>
    </row>
    <row r="5" spans="1:34" ht="12" customHeight="1">
      <c r="A5" s="2"/>
      <c r="B5" s="102" t="s">
        <v>173</v>
      </c>
      <c r="C5" s="2"/>
      <c r="D5" s="2"/>
      <c r="E5" s="2"/>
      <c r="F5" s="2"/>
      <c r="G5" s="23"/>
      <c r="H5" s="23"/>
      <c r="I5" s="2"/>
      <c r="J5" s="2"/>
      <c r="K5" s="102" t="s">
        <v>173</v>
      </c>
      <c r="L5" s="14"/>
      <c r="M5" s="2"/>
      <c r="N5" s="18"/>
      <c r="O5" s="18"/>
      <c r="P5" s="23"/>
      <c r="Q5" s="23"/>
      <c r="R5" s="18"/>
      <c r="S5" s="2"/>
      <c r="T5" s="102" t="s">
        <v>173</v>
      </c>
      <c r="U5" s="14"/>
      <c r="V5" s="2"/>
      <c r="W5" s="18"/>
      <c r="X5" s="18"/>
      <c r="Y5" s="23"/>
      <c r="Z5" s="23"/>
      <c r="AA5" s="18"/>
      <c r="AB5" s="2"/>
      <c r="AC5" s="5"/>
      <c r="AD5" s="14"/>
      <c r="AE5" s="2"/>
      <c r="AF5" s="2"/>
      <c r="AH5" s="23"/>
    </row>
    <row r="6" spans="1:35" ht="61.5" customHeight="1">
      <c r="A6" s="25" t="s">
        <v>45</v>
      </c>
      <c r="B6" s="26" t="s">
        <v>160</v>
      </c>
      <c r="C6" s="25" t="s">
        <v>40</v>
      </c>
      <c r="D6" s="25" t="s">
        <v>170</v>
      </c>
      <c r="E6" s="25" t="s">
        <v>39</v>
      </c>
      <c r="F6" s="25" t="s">
        <v>46</v>
      </c>
      <c r="G6" s="98" t="s">
        <v>47</v>
      </c>
      <c r="H6" s="98"/>
      <c r="I6" s="25" t="s">
        <v>48</v>
      </c>
      <c r="J6" s="25" t="s">
        <v>45</v>
      </c>
      <c r="K6" s="26" t="s">
        <v>160</v>
      </c>
      <c r="L6" s="27" t="s">
        <v>40</v>
      </c>
      <c r="M6" s="28" t="s">
        <v>170</v>
      </c>
      <c r="N6" s="28" t="s">
        <v>39</v>
      </c>
      <c r="O6" s="27" t="s">
        <v>46</v>
      </c>
      <c r="P6" s="29" t="s">
        <v>47</v>
      </c>
      <c r="Q6" s="29"/>
      <c r="R6" s="25" t="s">
        <v>48</v>
      </c>
      <c r="S6" s="25" t="s">
        <v>45</v>
      </c>
      <c r="T6" s="26" t="s">
        <v>160</v>
      </c>
      <c r="U6" s="27" t="s">
        <v>40</v>
      </c>
      <c r="V6" s="28" t="s">
        <v>170</v>
      </c>
      <c r="W6" s="28" t="s">
        <v>39</v>
      </c>
      <c r="X6" s="27" t="s">
        <v>46</v>
      </c>
      <c r="Y6" s="29" t="s">
        <v>47</v>
      </c>
      <c r="Z6" s="29"/>
      <c r="AA6" s="25" t="s">
        <v>48</v>
      </c>
      <c r="AB6" s="25" t="s">
        <v>45</v>
      </c>
      <c r="AC6" s="26" t="s">
        <v>160</v>
      </c>
      <c r="AD6" s="27" t="s">
        <v>40</v>
      </c>
      <c r="AE6" s="28" t="s">
        <v>170</v>
      </c>
      <c r="AF6" s="28" t="s">
        <v>39</v>
      </c>
      <c r="AG6" s="27" t="s">
        <v>46</v>
      </c>
      <c r="AH6" s="29" t="s">
        <v>47</v>
      </c>
      <c r="AI6" s="25" t="s">
        <v>48</v>
      </c>
    </row>
    <row r="7" spans="1:35" ht="12" customHeight="1">
      <c r="A7" s="25">
        <v>1</v>
      </c>
      <c r="B7" s="26" t="s">
        <v>24</v>
      </c>
      <c r="C7" s="25">
        <v>3</v>
      </c>
      <c r="D7" s="26" t="s">
        <v>72</v>
      </c>
      <c r="E7" s="25">
        <v>5</v>
      </c>
      <c r="F7" s="26" t="s">
        <v>101</v>
      </c>
      <c r="G7" s="25">
        <v>7</v>
      </c>
      <c r="H7" s="25"/>
      <c r="I7" s="25">
        <v>8</v>
      </c>
      <c r="J7" s="25">
        <v>1</v>
      </c>
      <c r="K7" s="26" t="s">
        <v>24</v>
      </c>
      <c r="L7" s="25">
        <v>3</v>
      </c>
      <c r="M7" s="26" t="s">
        <v>72</v>
      </c>
      <c r="N7" s="25">
        <v>5</v>
      </c>
      <c r="O7" s="26" t="s">
        <v>101</v>
      </c>
      <c r="P7" s="25">
        <v>7</v>
      </c>
      <c r="Q7" s="25"/>
      <c r="R7" s="25">
        <v>8</v>
      </c>
      <c r="S7" s="25">
        <v>1</v>
      </c>
      <c r="T7" s="26" t="s">
        <v>24</v>
      </c>
      <c r="U7" s="25">
        <v>3</v>
      </c>
      <c r="V7" s="26" t="s">
        <v>72</v>
      </c>
      <c r="W7" s="25">
        <v>5</v>
      </c>
      <c r="X7" s="26" t="s">
        <v>101</v>
      </c>
      <c r="Y7" s="25">
        <v>7</v>
      </c>
      <c r="Z7" s="25"/>
      <c r="AA7" s="25">
        <v>8</v>
      </c>
      <c r="AB7" s="25">
        <v>1</v>
      </c>
      <c r="AC7" s="26" t="s">
        <v>24</v>
      </c>
      <c r="AD7" s="25">
        <v>3</v>
      </c>
      <c r="AE7" s="25">
        <v>4</v>
      </c>
      <c r="AF7" s="30">
        <v>5</v>
      </c>
      <c r="AG7" s="30">
        <v>6</v>
      </c>
      <c r="AH7" s="30">
        <v>7</v>
      </c>
      <c r="AI7" s="30">
        <v>8</v>
      </c>
    </row>
    <row r="8" spans="1:35" s="7" customFormat="1" ht="30" customHeight="1">
      <c r="A8" s="56" t="s">
        <v>19</v>
      </c>
      <c r="B8" s="57" t="s">
        <v>62</v>
      </c>
      <c r="C8" s="31" t="s">
        <v>0</v>
      </c>
      <c r="D8" s="54">
        <f>D9+D17+D27+D28+D31-0.3</f>
        <v>1426400.2</v>
      </c>
      <c r="E8" s="76">
        <f>E9+E17+E27+E28+E31</f>
        <v>1432287</v>
      </c>
      <c r="F8" s="40">
        <f>E8-D8</f>
        <v>5886.800000000047</v>
      </c>
      <c r="G8" s="39">
        <f>E8/D8*100</f>
        <v>100.41270325116332</v>
      </c>
      <c r="H8" s="39"/>
      <c r="I8" s="34"/>
      <c r="J8" s="56" t="s">
        <v>19</v>
      </c>
      <c r="K8" s="57" t="s">
        <v>62</v>
      </c>
      <c r="L8" s="31" t="s">
        <v>0</v>
      </c>
      <c r="M8" s="76">
        <f>M9+M17+M27+M28+M31</f>
        <v>128048</v>
      </c>
      <c r="N8" s="76">
        <f>N9+N17+N27+N28+N31</f>
        <v>107064</v>
      </c>
      <c r="O8" s="40">
        <f>N8-M8</f>
        <v>-20984</v>
      </c>
      <c r="P8" s="39">
        <f>N8/M8*100</f>
        <v>83.61239535174309</v>
      </c>
      <c r="Q8" s="39"/>
      <c r="R8" s="34"/>
      <c r="S8" s="56" t="s">
        <v>19</v>
      </c>
      <c r="T8" s="57" t="s">
        <v>62</v>
      </c>
      <c r="U8" s="31" t="s">
        <v>0</v>
      </c>
      <c r="V8" s="76">
        <f>V9+V17+V27+V28+V31</f>
        <v>699658</v>
      </c>
      <c r="W8" s="76">
        <f>W9+W17+W27+W28+W31</f>
        <v>745608</v>
      </c>
      <c r="X8" s="40">
        <f>W8-V8</f>
        <v>45950</v>
      </c>
      <c r="Y8" s="39">
        <f>W8/V8*100</f>
        <v>106.567494404409</v>
      </c>
      <c r="Z8" s="39"/>
      <c r="AA8" s="34"/>
      <c r="AB8" s="56" t="s">
        <v>19</v>
      </c>
      <c r="AC8" s="57" t="s">
        <v>62</v>
      </c>
      <c r="AD8" s="31" t="s">
        <v>0</v>
      </c>
      <c r="AE8" s="78">
        <f>D8+M8+V8</f>
        <v>2254106.2</v>
      </c>
      <c r="AF8" s="78">
        <f>E8+N8+W8</f>
        <v>2284959</v>
      </c>
      <c r="AG8" s="30">
        <f>AF8-AE8</f>
        <v>30852.799999999814</v>
      </c>
      <c r="AH8" s="33">
        <f>AF8/AE8</f>
        <v>1.0136873763977934</v>
      </c>
      <c r="AI8" s="34"/>
    </row>
    <row r="9" spans="1:35" s="7" customFormat="1" ht="15" customHeight="1">
      <c r="A9" s="56">
        <v>1</v>
      </c>
      <c r="B9" s="57" t="s">
        <v>2</v>
      </c>
      <c r="C9" s="31" t="s">
        <v>0</v>
      </c>
      <c r="D9" s="40">
        <f>SUM(D11:D16)</f>
        <v>455433</v>
      </c>
      <c r="E9" s="40">
        <f>SUM(E11:E16)</f>
        <v>408599</v>
      </c>
      <c r="F9" s="40">
        <f>E9-D9</f>
        <v>-46834</v>
      </c>
      <c r="G9" s="39">
        <f>E9/D9*100</f>
        <v>89.7165993680739</v>
      </c>
      <c r="H9" s="39"/>
      <c r="I9" s="34"/>
      <c r="J9" s="56">
        <v>1</v>
      </c>
      <c r="K9" s="57" t="s">
        <v>2</v>
      </c>
      <c r="L9" s="31" t="s">
        <v>0</v>
      </c>
      <c r="M9" s="40">
        <f>SUM(M11:M16)</f>
        <v>75690</v>
      </c>
      <c r="N9" s="40">
        <f>SUM(N11:N16)</f>
        <v>54966</v>
      </c>
      <c r="O9" s="40">
        <f>N9-M9</f>
        <v>-20724</v>
      </c>
      <c r="P9" s="39">
        <f>N9/M9*100</f>
        <v>72.6198969480777</v>
      </c>
      <c r="Q9" s="39"/>
      <c r="R9" s="34"/>
      <c r="S9" s="56">
        <v>1</v>
      </c>
      <c r="T9" s="57" t="s">
        <v>2</v>
      </c>
      <c r="U9" s="31" t="s">
        <v>0</v>
      </c>
      <c r="V9" s="40">
        <f>SUM(V11:V16)</f>
        <v>170151</v>
      </c>
      <c r="W9" s="40">
        <f>SUM(W11:W16)</f>
        <v>159539</v>
      </c>
      <c r="X9" s="40">
        <f>W9-V9</f>
        <v>-10612</v>
      </c>
      <c r="Y9" s="39">
        <f>W9/V9*100</f>
        <v>93.76318681641601</v>
      </c>
      <c r="Z9" s="39"/>
      <c r="AA9" s="34"/>
      <c r="AB9" s="56">
        <v>1</v>
      </c>
      <c r="AC9" s="57" t="s">
        <v>2</v>
      </c>
      <c r="AD9" s="31" t="s">
        <v>0</v>
      </c>
      <c r="AE9" s="78">
        <f>D9+M9+V9</f>
        <v>701274</v>
      </c>
      <c r="AF9" s="78">
        <f>E9+N9+W9</f>
        <v>623104</v>
      </c>
      <c r="AG9" s="30">
        <f>AF9-AE9</f>
        <v>-78170</v>
      </c>
      <c r="AH9" s="33">
        <f>AF9/AE9</f>
        <v>0.8885314442001272</v>
      </c>
      <c r="AI9" s="34"/>
    </row>
    <row r="10" spans="1:35" ht="9.75" customHeight="1">
      <c r="A10" s="58"/>
      <c r="B10" s="59" t="s">
        <v>3</v>
      </c>
      <c r="C10" s="28"/>
      <c r="D10" s="60"/>
      <c r="E10" s="30"/>
      <c r="F10" s="40"/>
      <c r="G10" s="39"/>
      <c r="H10" s="39"/>
      <c r="I10" s="34"/>
      <c r="J10" s="58"/>
      <c r="K10" s="59" t="s">
        <v>3</v>
      </c>
      <c r="L10" s="31"/>
      <c r="M10" s="65"/>
      <c r="N10" s="30"/>
      <c r="O10" s="40"/>
      <c r="P10" s="39"/>
      <c r="Q10" s="39"/>
      <c r="R10" s="34"/>
      <c r="S10" s="58"/>
      <c r="T10" s="59" t="s">
        <v>3</v>
      </c>
      <c r="U10" s="28"/>
      <c r="V10" s="60"/>
      <c r="W10" s="30"/>
      <c r="X10" s="40"/>
      <c r="Y10" s="39"/>
      <c r="Z10" s="39"/>
      <c r="AA10" s="34"/>
      <c r="AB10" s="58"/>
      <c r="AC10" s="59" t="s">
        <v>3</v>
      </c>
      <c r="AD10" s="28"/>
      <c r="AE10" s="30"/>
      <c r="AF10" s="30"/>
      <c r="AG10" s="30"/>
      <c r="AH10" s="33"/>
      <c r="AI10" s="34"/>
    </row>
    <row r="11" spans="1:35" ht="22.5" customHeight="1">
      <c r="A11" s="58" t="s">
        <v>4</v>
      </c>
      <c r="B11" s="59" t="s">
        <v>49</v>
      </c>
      <c r="C11" s="28" t="s">
        <v>0</v>
      </c>
      <c r="D11" s="30">
        <v>39639</v>
      </c>
      <c r="E11" s="30">
        <v>38657</v>
      </c>
      <c r="F11" s="40">
        <f aca="true" t="shared" si="0" ref="F11:F31">E11-D11</f>
        <v>-982</v>
      </c>
      <c r="G11" s="39">
        <f aca="true" t="shared" si="1" ref="G11:G17">E11/D11*100</f>
        <v>97.52264184262972</v>
      </c>
      <c r="H11" s="39">
        <f>D11*0.95-E11</f>
        <v>-999.9500000000044</v>
      </c>
      <c r="I11" s="95"/>
      <c r="J11" s="58"/>
      <c r="K11" s="59"/>
      <c r="L11" s="31"/>
      <c r="M11" s="30"/>
      <c r="N11" s="30"/>
      <c r="O11" s="40"/>
      <c r="P11" s="39"/>
      <c r="Q11" s="39"/>
      <c r="R11" s="44"/>
      <c r="S11" s="58"/>
      <c r="T11" s="59"/>
      <c r="U11" s="28"/>
      <c r="V11" s="32"/>
      <c r="W11" s="30"/>
      <c r="X11" s="40"/>
      <c r="Y11" s="39"/>
      <c r="Z11" s="39"/>
      <c r="AA11" s="44"/>
      <c r="AB11" s="58" t="s">
        <v>4</v>
      </c>
      <c r="AC11" s="59"/>
      <c r="AD11" s="28" t="s">
        <v>0</v>
      </c>
      <c r="AE11" s="30">
        <f aca="true" t="shared" si="2" ref="AE11:AF16">D11+M11+V11</f>
        <v>39639</v>
      </c>
      <c r="AF11" s="30">
        <f t="shared" si="2"/>
        <v>38657</v>
      </c>
      <c r="AG11" s="30">
        <f aca="true" t="shared" si="3" ref="AG11:AG17">AF11-AE11</f>
        <v>-982</v>
      </c>
      <c r="AH11" s="33">
        <f aca="true" t="shared" si="4" ref="AH11:AH17">AF11/AE11</f>
        <v>0.9752264184262973</v>
      </c>
      <c r="AI11" s="34"/>
    </row>
    <row r="12" spans="1:35" ht="11.25">
      <c r="A12" s="58" t="s">
        <v>63</v>
      </c>
      <c r="B12" s="59" t="s">
        <v>50</v>
      </c>
      <c r="C12" s="28" t="s">
        <v>0</v>
      </c>
      <c r="D12" s="30">
        <v>44910</v>
      </c>
      <c r="E12" s="30">
        <v>43256</v>
      </c>
      <c r="F12" s="40">
        <f t="shared" si="0"/>
        <v>-1654</v>
      </c>
      <c r="G12" s="39">
        <f t="shared" si="1"/>
        <v>96.31707860164774</v>
      </c>
      <c r="H12" s="39"/>
      <c r="I12" s="99"/>
      <c r="J12" s="58" t="s">
        <v>161</v>
      </c>
      <c r="K12" s="59" t="s">
        <v>50</v>
      </c>
      <c r="L12" s="31" t="s">
        <v>0</v>
      </c>
      <c r="M12" s="30">
        <v>5653</v>
      </c>
      <c r="N12" s="30">
        <v>5371</v>
      </c>
      <c r="O12" s="40">
        <f aca="true" t="shared" si="5" ref="O12:O17">N12-M12</f>
        <v>-282</v>
      </c>
      <c r="P12" s="39">
        <f aca="true" t="shared" si="6" ref="P12:P17">N12/M12*100</f>
        <v>95.01149831947639</v>
      </c>
      <c r="Q12" s="39">
        <f>M12*0.95-N12</f>
        <v>-0.6500000000005457</v>
      </c>
      <c r="R12" s="99"/>
      <c r="S12" s="58" t="s">
        <v>161</v>
      </c>
      <c r="T12" s="59" t="s">
        <v>50</v>
      </c>
      <c r="U12" s="28" t="s">
        <v>0</v>
      </c>
      <c r="V12" s="30">
        <v>14397</v>
      </c>
      <c r="W12" s="30">
        <v>15001</v>
      </c>
      <c r="X12" s="40">
        <f>W12-V12</f>
        <v>604</v>
      </c>
      <c r="Y12" s="39">
        <f>W12/V12*100</f>
        <v>104.19531846912551</v>
      </c>
      <c r="Z12" s="39"/>
      <c r="AA12" s="99"/>
      <c r="AB12" s="58" t="s">
        <v>63</v>
      </c>
      <c r="AC12" s="59" t="s">
        <v>50</v>
      </c>
      <c r="AD12" s="28" t="s">
        <v>0</v>
      </c>
      <c r="AE12" s="30">
        <f t="shared" si="2"/>
        <v>64960</v>
      </c>
      <c r="AF12" s="30">
        <f t="shared" si="2"/>
        <v>63628</v>
      </c>
      <c r="AG12" s="30">
        <f t="shared" si="3"/>
        <v>-1332</v>
      </c>
      <c r="AH12" s="33">
        <f t="shared" si="4"/>
        <v>0.9794950738916256</v>
      </c>
      <c r="AI12" s="34"/>
    </row>
    <row r="13" spans="1:35" ht="11.25">
      <c r="A13" s="58" t="s">
        <v>64</v>
      </c>
      <c r="B13" s="59" t="s">
        <v>65</v>
      </c>
      <c r="C13" s="28" t="s">
        <v>0</v>
      </c>
      <c r="D13" s="30">
        <v>34654</v>
      </c>
      <c r="E13" s="30">
        <v>33186</v>
      </c>
      <c r="F13" s="40">
        <f t="shared" si="0"/>
        <v>-1468</v>
      </c>
      <c r="G13" s="39">
        <f t="shared" si="1"/>
        <v>95.76383678651816</v>
      </c>
      <c r="H13" s="39"/>
      <c r="I13" s="108"/>
      <c r="J13" s="58" t="s">
        <v>63</v>
      </c>
      <c r="K13" s="59" t="s">
        <v>65</v>
      </c>
      <c r="L13" s="31" t="s">
        <v>0</v>
      </c>
      <c r="M13" s="30">
        <v>3409</v>
      </c>
      <c r="N13" s="30">
        <v>3352</v>
      </c>
      <c r="O13" s="40">
        <f t="shared" si="5"/>
        <v>-57</v>
      </c>
      <c r="P13" s="39">
        <f t="shared" si="6"/>
        <v>98.32795541214432</v>
      </c>
      <c r="Q13" s="39"/>
      <c r="R13" s="108"/>
      <c r="S13" s="58" t="s">
        <v>63</v>
      </c>
      <c r="T13" s="59" t="s">
        <v>65</v>
      </c>
      <c r="U13" s="28" t="s">
        <v>0</v>
      </c>
      <c r="V13" s="30">
        <v>19307</v>
      </c>
      <c r="W13" s="30">
        <v>18395</v>
      </c>
      <c r="X13" s="40">
        <f>W13-V13</f>
        <v>-912</v>
      </c>
      <c r="Y13" s="39">
        <f>W13/V13*100</f>
        <v>95.27632464909101</v>
      </c>
      <c r="Z13" s="39"/>
      <c r="AA13" s="108"/>
      <c r="AB13" s="58" t="s">
        <v>64</v>
      </c>
      <c r="AC13" s="59" t="s">
        <v>65</v>
      </c>
      <c r="AD13" s="28" t="s">
        <v>0</v>
      </c>
      <c r="AE13" s="30">
        <f t="shared" si="2"/>
        <v>57370</v>
      </c>
      <c r="AF13" s="30">
        <f t="shared" si="2"/>
        <v>54933</v>
      </c>
      <c r="AG13" s="30">
        <f t="shared" si="3"/>
        <v>-2437</v>
      </c>
      <c r="AH13" s="33">
        <f t="shared" si="4"/>
        <v>0.9575213526233223</v>
      </c>
      <c r="AI13" s="34"/>
    </row>
    <row r="14" spans="1:35" ht="31.5">
      <c r="A14" s="58" t="s">
        <v>66</v>
      </c>
      <c r="B14" s="59" t="s">
        <v>51</v>
      </c>
      <c r="C14" s="28" t="s">
        <v>0</v>
      </c>
      <c r="D14" s="30">
        <v>305332</v>
      </c>
      <c r="E14" s="30">
        <v>265226</v>
      </c>
      <c r="F14" s="40">
        <f t="shared" si="0"/>
        <v>-40106</v>
      </c>
      <c r="G14" s="39">
        <f t="shared" si="1"/>
        <v>86.86478980257556</v>
      </c>
      <c r="H14" s="39"/>
      <c r="I14" s="105" t="s">
        <v>211</v>
      </c>
      <c r="J14" s="58" t="s">
        <v>64</v>
      </c>
      <c r="K14" s="59" t="s">
        <v>51</v>
      </c>
      <c r="L14" s="31" t="s">
        <v>0</v>
      </c>
      <c r="M14" s="30">
        <v>53909</v>
      </c>
      <c r="N14" s="30">
        <v>37014</v>
      </c>
      <c r="O14" s="40">
        <f t="shared" si="5"/>
        <v>-16895</v>
      </c>
      <c r="P14" s="39">
        <f t="shared" si="6"/>
        <v>68.66014951121335</v>
      </c>
      <c r="Q14" s="39">
        <f>M14*0.95-N14</f>
        <v>14199.549999999996</v>
      </c>
      <c r="R14" s="105" t="s">
        <v>215</v>
      </c>
      <c r="S14" s="58" t="s">
        <v>64</v>
      </c>
      <c r="T14" s="59" t="s">
        <v>51</v>
      </c>
      <c r="U14" s="28" t="s">
        <v>0</v>
      </c>
      <c r="V14" s="30">
        <v>132799</v>
      </c>
      <c r="W14" s="30">
        <v>122671</v>
      </c>
      <c r="X14" s="40">
        <f>W14-V14</f>
        <v>-10128</v>
      </c>
      <c r="Y14" s="39">
        <f>W14/V14*100</f>
        <v>92.37343654696195</v>
      </c>
      <c r="Z14" s="39"/>
      <c r="AA14" s="99" t="s">
        <v>216</v>
      </c>
      <c r="AB14" s="58" t="s">
        <v>66</v>
      </c>
      <c r="AC14" s="59" t="s">
        <v>51</v>
      </c>
      <c r="AD14" s="28" t="s">
        <v>0</v>
      </c>
      <c r="AE14" s="30">
        <f t="shared" si="2"/>
        <v>492040</v>
      </c>
      <c r="AF14" s="30">
        <f t="shared" si="2"/>
        <v>424911</v>
      </c>
      <c r="AG14" s="30">
        <f t="shared" si="3"/>
        <v>-67129</v>
      </c>
      <c r="AH14" s="33">
        <f t="shared" si="4"/>
        <v>0.8635700349565076</v>
      </c>
      <c r="AI14" s="34"/>
    </row>
    <row r="15" spans="1:35" ht="11.25">
      <c r="A15" s="58" t="s">
        <v>67</v>
      </c>
      <c r="B15" s="59" t="s">
        <v>52</v>
      </c>
      <c r="C15" s="28" t="s">
        <v>0</v>
      </c>
      <c r="D15" s="30">
        <v>6977</v>
      </c>
      <c r="E15" s="30">
        <v>6630</v>
      </c>
      <c r="F15" s="40">
        <f t="shared" si="0"/>
        <v>-347</v>
      </c>
      <c r="G15" s="39">
        <f t="shared" si="1"/>
        <v>95.02651569442455</v>
      </c>
      <c r="H15" s="39">
        <f>D15*0.95-E15</f>
        <v>-1.8500000000003638</v>
      </c>
      <c r="I15" s="105"/>
      <c r="J15" s="58" t="s">
        <v>66</v>
      </c>
      <c r="K15" s="59" t="s">
        <v>52</v>
      </c>
      <c r="L15" s="31" t="s">
        <v>0</v>
      </c>
      <c r="M15" s="30">
        <v>613</v>
      </c>
      <c r="N15" s="30">
        <v>583</v>
      </c>
      <c r="O15" s="40">
        <f t="shared" si="5"/>
        <v>-30</v>
      </c>
      <c r="P15" s="39">
        <f t="shared" si="6"/>
        <v>95.10603588907016</v>
      </c>
      <c r="Q15" s="39">
        <f>M15*0.95-N15</f>
        <v>-0.6499999999999773</v>
      </c>
      <c r="R15" s="105"/>
      <c r="S15" s="58" t="s">
        <v>66</v>
      </c>
      <c r="T15" s="59" t="s">
        <v>52</v>
      </c>
      <c r="U15" s="28" t="s">
        <v>0</v>
      </c>
      <c r="V15" s="30">
        <v>3648</v>
      </c>
      <c r="W15" s="30">
        <v>3472</v>
      </c>
      <c r="X15" s="40">
        <f>W15-V15</f>
        <v>-176</v>
      </c>
      <c r="Y15" s="39">
        <f>W15/V15*100</f>
        <v>95.17543859649122</v>
      </c>
      <c r="Z15" s="39">
        <f>V15*0.95-W15</f>
        <v>-6.400000000000091</v>
      </c>
      <c r="AA15" s="105"/>
      <c r="AB15" s="58" t="s">
        <v>67</v>
      </c>
      <c r="AC15" s="59" t="s">
        <v>52</v>
      </c>
      <c r="AD15" s="28" t="s">
        <v>0</v>
      </c>
      <c r="AE15" s="30">
        <f t="shared" si="2"/>
        <v>11238</v>
      </c>
      <c r="AF15" s="30">
        <f t="shared" si="2"/>
        <v>10685</v>
      </c>
      <c r="AG15" s="30">
        <f t="shared" si="3"/>
        <v>-553</v>
      </c>
      <c r="AH15" s="33">
        <f t="shared" si="4"/>
        <v>0.9507919558640328</v>
      </c>
      <c r="AI15" s="34"/>
    </row>
    <row r="16" spans="1:35" ht="21">
      <c r="A16" s="58" t="s">
        <v>68</v>
      </c>
      <c r="B16" s="59" t="s">
        <v>53</v>
      </c>
      <c r="C16" s="28" t="s">
        <v>0</v>
      </c>
      <c r="D16" s="30">
        <v>23921</v>
      </c>
      <c r="E16" s="30">
        <v>21644</v>
      </c>
      <c r="F16" s="40">
        <f t="shared" si="0"/>
        <v>-2277</v>
      </c>
      <c r="G16" s="39">
        <f t="shared" si="1"/>
        <v>90.48116717528532</v>
      </c>
      <c r="H16" s="39">
        <f>D16*0.95-E16</f>
        <v>1080.9500000000007</v>
      </c>
      <c r="I16" s="105" t="s">
        <v>212</v>
      </c>
      <c r="J16" s="58" t="s">
        <v>67</v>
      </c>
      <c r="K16" s="59" t="s">
        <v>53</v>
      </c>
      <c r="L16" s="31" t="s">
        <v>0</v>
      </c>
      <c r="M16" s="30">
        <v>12106</v>
      </c>
      <c r="N16" s="30">
        <v>8646</v>
      </c>
      <c r="O16" s="40">
        <f t="shared" si="5"/>
        <v>-3460</v>
      </c>
      <c r="P16" s="39">
        <f t="shared" si="6"/>
        <v>71.41913100941682</v>
      </c>
      <c r="Q16" s="39">
        <f>M16*0.95-N16</f>
        <v>2854.699999999999</v>
      </c>
      <c r="R16" s="105" t="s">
        <v>212</v>
      </c>
      <c r="S16" s="58"/>
      <c r="T16" s="59"/>
      <c r="U16" s="28"/>
      <c r="V16" s="30"/>
      <c r="W16" s="30"/>
      <c r="X16" s="40"/>
      <c r="Y16" s="39"/>
      <c r="Z16" s="39"/>
      <c r="AA16" s="44"/>
      <c r="AB16" s="58" t="s">
        <v>68</v>
      </c>
      <c r="AC16" s="59" t="s">
        <v>53</v>
      </c>
      <c r="AD16" s="28" t="s">
        <v>0</v>
      </c>
      <c r="AE16" s="30">
        <f t="shared" si="2"/>
        <v>36027</v>
      </c>
      <c r="AF16" s="30">
        <f t="shared" si="2"/>
        <v>30290</v>
      </c>
      <c r="AG16" s="30">
        <f t="shared" si="3"/>
        <v>-5737</v>
      </c>
      <c r="AH16" s="33">
        <f t="shared" si="4"/>
        <v>0.8407583201487773</v>
      </c>
      <c r="AI16" s="34"/>
    </row>
    <row r="17" spans="1:35" s="7" customFormat="1" ht="15" customHeight="1">
      <c r="A17" s="61">
        <v>2</v>
      </c>
      <c r="B17" s="62" t="s">
        <v>69</v>
      </c>
      <c r="C17" s="31" t="s">
        <v>0</v>
      </c>
      <c r="D17" s="39">
        <f>D19+D22+D23+D26-0.3</f>
        <v>434133.5</v>
      </c>
      <c r="E17" s="39">
        <f>E19+E22+E23+E26</f>
        <v>418259</v>
      </c>
      <c r="F17" s="40">
        <f t="shared" si="0"/>
        <v>-15874.5</v>
      </c>
      <c r="G17" s="39">
        <f t="shared" si="1"/>
        <v>96.34340588782023</v>
      </c>
      <c r="H17" s="39"/>
      <c r="I17" s="34"/>
      <c r="J17" s="61">
        <v>2</v>
      </c>
      <c r="K17" s="62" t="s">
        <v>69</v>
      </c>
      <c r="L17" s="31" t="s">
        <v>0</v>
      </c>
      <c r="M17" s="40">
        <f>M19+M20+M25</f>
        <v>33157</v>
      </c>
      <c r="N17" s="40">
        <f>N19+N20+N25</f>
        <v>31763</v>
      </c>
      <c r="O17" s="40">
        <f t="shared" si="5"/>
        <v>-1394</v>
      </c>
      <c r="P17" s="39">
        <f t="shared" si="6"/>
        <v>95.79575956811533</v>
      </c>
      <c r="Q17" s="39"/>
      <c r="R17" s="91"/>
      <c r="S17" s="61">
        <v>2</v>
      </c>
      <c r="T17" s="62" t="s">
        <v>69</v>
      </c>
      <c r="U17" s="31" t="s">
        <v>0</v>
      </c>
      <c r="V17" s="40">
        <f>V19+V22+V23+V26</f>
        <v>229797</v>
      </c>
      <c r="W17" s="40">
        <f>W19+W22+W23+W26</f>
        <v>221085</v>
      </c>
      <c r="X17" s="40">
        <f>W17-V17</f>
        <v>-8712</v>
      </c>
      <c r="Y17" s="39">
        <f>W17/V17*100</f>
        <v>96.20882779148553</v>
      </c>
      <c r="Z17" s="39"/>
      <c r="AA17" s="34"/>
      <c r="AB17" s="61">
        <v>2</v>
      </c>
      <c r="AC17" s="62" t="s">
        <v>69</v>
      </c>
      <c r="AD17" s="31" t="s">
        <v>0</v>
      </c>
      <c r="AE17" s="74">
        <f>AE19+AE22+AE23+AE26</f>
        <v>697087.8</v>
      </c>
      <c r="AF17" s="74">
        <f>AF19+AF22+AF23+AF26</f>
        <v>671107</v>
      </c>
      <c r="AG17" s="30">
        <f t="shared" si="3"/>
        <v>-25980.800000000047</v>
      </c>
      <c r="AH17" s="33">
        <f t="shared" si="4"/>
        <v>0.9627295155646103</v>
      </c>
      <c r="AI17" s="34"/>
    </row>
    <row r="18" spans="1:35" ht="12" customHeight="1">
      <c r="A18" s="58"/>
      <c r="B18" s="59" t="s">
        <v>3</v>
      </c>
      <c r="C18" s="28"/>
      <c r="D18" s="60"/>
      <c r="E18" s="30"/>
      <c r="F18" s="40"/>
      <c r="G18" s="39"/>
      <c r="H18" s="39"/>
      <c r="I18" s="34"/>
      <c r="J18" s="58"/>
      <c r="K18" s="59" t="s">
        <v>3</v>
      </c>
      <c r="L18" s="28"/>
      <c r="M18" s="60"/>
      <c r="N18" s="30"/>
      <c r="O18" s="40"/>
      <c r="P18" s="39"/>
      <c r="Q18" s="39"/>
      <c r="R18" s="91"/>
      <c r="S18" s="58"/>
      <c r="T18" s="59" t="s">
        <v>3</v>
      </c>
      <c r="U18" s="28"/>
      <c r="V18" s="65"/>
      <c r="W18" s="30"/>
      <c r="X18" s="40"/>
      <c r="Y18" s="39"/>
      <c r="Z18" s="39"/>
      <c r="AA18" s="91"/>
      <c r="AB18" s="58"/>
      <c r="AC18" s="59" t="s">
        <v>3</v>
      </c>
      <c r="AD18" s="28" t="s">
        <v>0</v>
      </c>
      <c r="AE18" s="25"/>
      <c r="AF18" s="25"/>
      <c r="AG18" s="30"/>
      <c r="AH18" s="33"/>
      <c r="AI18" s="34"/>
    </row>
    <row r="19" spans="1:35" ht="24.75" customHeight="1">
      <c r="A19" s="58" t="s">
        <v>5</v>
      </c>
      <c r="B19" s="59" t="s">
        <v>70</v>
      </c>
      <c r="C19" s="28" t="s">
        <v>0</v>
      </c>
      <c r="D19" s="32">
        <v>297749.8</v>
      </c>
      <c r="E19" s="32">
        <v>287532</v>
      </c>
      <c r="F19" s="40">
        <f t="shared" si="0"/>
        <v>-10217.799999999988</v>
      </c>
      <c r="G19" s="39">
        <f aca="true" t="shared" si="7" ref="G19:G31">E19/D19*100</f>
        <v>96.56832683011038</v>
      </c>
      <c r="H19" s="39"/>
      <c r="I19" s="95"/>
      <c r="J19" s="58" t="s">
        <v>5</v>
      </c>
      <c r="K19" s="59" t="s">
        <v>70</v>
      </c>
      <c r="L19" s="28" t="s">
        <v>0</v>
      </c>
      <c r="M19" s="30">
        <v>25842</v>
      </c>
      <c r="N19" s="30">
        <v>24776</v>
      </c>
      <c r="O19" s="40">
        <f>N19-M19</f>
        <v>-1066</v>
      </c>
      <c r="P19" s="39">
        <f>N19/M19*100</f>
        <v>95.87493228078323</v>
      </c>
      <c r="Q19" s="39"/>
      <c r="R19" s="90"/>
      <c r="S19" s="58" t="s">
        <v>5</v>
      </c>
      <c r="T19" s="59" t="s">
        <v>70</v>
      </c>
      <c r="U19" s="28" t="s">
        <v>0</v>
      </c>
      <c r="V19" s="30">
        <v>170019</v>
      </c>
      <c r="W19" s="30">
        <v>163248</v>
      </c>
      <c r="X19" s="40">
        <f>W19-V19</f>
        <v>-6771</v>
      </c>
      <c r="Y19" s="39">
        <f>W19/V19*100</f>
        <v>96.0175039260318</v>
      </c>
      <c r="Z19" s="39"/>
      <c r="AA19" s="90"/>
      <c r="AB19" s="58" t="s">
        <v>5</v>
      </c>
      <c r="AC19" s="59" t="s">
        <v>70</v>
      </c>
      <c r="AD19" s="28" t="s">
        <v>0</v>
      </c>
      <c r="AE19" s="30">
        <f>D19+M19+V19</f>
        <v>493610.8</v>
      </c>
      <c r="AF19" s="30">
        <f>E19+N19+W19-1</f>
        <v>475555</v>
      </c>
      <c r="AG19" s="30">
        <f>AF19-AE19</f>
        <v>-18055.79999999999</v>
      </c>
      <c r="AH19" s="33">
        <f>AF19/AE19</f>
        <v>0.9634209786333686</v>
      </c>
      <c r="AI19" s="34"/>
    </row>
    <row r="20" spans="1:35" ht="20.25" customHeight="1">
      <c r="A20" s="58"/>
      <c r="B20" s="59" t="s">
        <v>193</v>
      </c>
      <c r="C20" s="28" t="s">
        <v>61</v>
      </c>
      <c r="D20" s="30">
        <f>D19/D21/12*1000</f>
        <v>93632.01257861636</v>
      </c>
      <c r="E20" s="30">
        <f>E19/E21/12*1000</f>
        <v>90761.36363636365</v>
      </c>
      <c r="F20" s="40">
        <f t="shared" si="0"/>
        <v>-2870.6489422527084</v>
      </c>
      <c r="G20" s="39">
        <f t="shared" si="7"/>
        <v>96.93411594689111</v>
      </c>
      <c r="H20" s="39"/>
      <c r="I20" s="95"/>
      <c r="J20" s="58" t="s">
        <v>6</v>
      </c>
      <c r="K20" s="59" t="s">
        <v>196</v>
      </c>
      <c r="L20" s="28" t="s">
        <v>0</v>
      </c>
      <c r="M20" s="30">
        <v>4205</v>
      </c>
      <c r="N20" s="30">
        <v>4003</v>
      </c>
      <c r="O20" s="40">
        <f aca="true" t="shared" si="8" ref="O20:O25">N20-M20</f>
        <v>-202</v>
      </c>
      <c r="P20" s="39">
        <f aca="true" t="shared" si="9" ref="P20:P25">N20/M20*100</f>
        <v>95.1961950059453</v>
      </c>
      <c r="Q20" s="39"/>
      <c r="R20" s="90"/>
      <c r="S20" s="58"/>
      <c r="T20" s="59" t="s">
        <v>193</v>
      </c>
      <c r="U20" s="28" t="s">
        <v>61</v>
      </c>
      <c r="V20" s="30">
        <f>V19/V21/12*1000</f>
        <v>87458.33333333333</v>
      </c>
      <c r="W20" s="30">
        <f>W19/W21/12*1000</f>
        <v>84496.8944099379</v>
      </c>
      <c r="X20" s="40">
        <f aca="true" t="shared" si="10" ref="X20:X26">W20-V20</f>
        <v>-2961.438923395428</v>
      </c>
      <c r="Y20" s="39">
        <f aca="true" t="shared" si="11" ref="Y20:Y26">W20/V20*100</f>
        <v>96.61388593799475</v>
      </c>
      <c r="Z20" s="39"/>
      <c r="AA20" s="90"/>
      <c r="AB20" s="58"/>
      <c r="AC20" s="59" t="s">
        <v>193</v>
      </c>
      <c r="AD20" s="28" t="s">
        <v>61</v>
      </c>
      <c r="AE20" s="30">
        <f>AE19/AE21/12*1000</f>
        <v>91409.4074074074</v>
      </c>
      <c r="AF20" s="30">
        <f>AF19/AF21/12*1000</f>
        <v>88458.8913690476</v>
      </c>
      <c r="AG20" s="30">
        <f aca="true" t="shared" si="12" ref="AG20:AG26">AF20-AE20</f>
        <v>-2950.5160383597977</v>
      </c>
      <c r="AH20" s="33">
        <f aca="true" t="shared" si="13" ref="AH20:AH26">AF20/AE20</f>
        <v>0.9677219651451247</v>
      </c>
      <c r="AI20" s="34"/>
    </row>
    <row r="21" spans="1:35" ht="25.5" customHeight="1">
      <c r="A21" s="58"/>
      <c r="B21" s="59" t="s">
        <v>194</v>
      </c>
      <c r="C21" s="28" t="s">
        <v>164</v>
      </c>
      <c r="D21" s="30">
        <v>265</v>
      </c>
      <c r="E21" s="30">
        <v>264</v>
      </c>
      <c r="F21" s="40">
        <f t="shared" si="0"/>
        <v>-1</v>
      </c>
      <c r="G21" s="39">
        <f t="shared" si="7"/>
        <v>99.62264150943396</v>
      </c>
      <c r="H21" s="39"/>
      <c r="I21" s="95"/>
      <c r="J21" s="58"/>
      <c r="K21" s="59" t="s">
        <v>194</v>
      </c>
      <c r="L21" s="28" t="s">
        <v>164</v>
      </c>
      <c r="M21" s="30">
        <v>23</v>
      </c>
      <c r="N21" s="30">
        <v>23</v>
      </c>
      <c r="O21" s="40">
        <f t="shared" si="8"/>
        <v>0</v>
      </c>
      <c r="P21" s="39">
        <f t="shared" si="9"/>
        <v>100</v>
      </c>
      <c r="Q21" s="39"/>
      <c r="R21" s="90"/>
      <c r="S21" s="58"/>
      <c r="T21" s="59" t="s">
        <v>194</v>
      </c>
      <c r="U21" s="28" t="s">
        <v>164</v>
      </c>
      <c r="V21" s="30">
        <v>162</v>
      </c>
      <c r="W21" s="30">
        <v>161</v>
      </c>
      <c r="X21" s="40">
        <f t="shared" si="10"/>
        <v>-1</v>
      </c>
      <c r="Y21" s="39">
        <f t="shared" si="11"/>
        <v>99.38271604938271</v>
      </c>
      <c r="Z21" s="39"/>
      <c r="AA21" s="90"/>
      <c r="AB21" s="58"/>
      <c r="AC21" s="59" t="s">
        <v>194</v>
      </c>
      <c r="AD21" s="28" t="s">
        <v>164</v>
      </c>
      <c r="AE21" s="30">
        <v>450</v>
      </c>
      <c r="AF21" s="30">
        <v>448</v>
      </c>
      <c r="AG21" s="30">
        <f t="shared" si="12"/>
        <v>-2</v>
      </c>
      <c r="AH21" s="33">
        <f t="shared" si="13"/>
        <v>0.9955555555555555</v>
      </c>
      <c r="AI21" s="34"/>
    </row>
    <row r="22" spans="1:35" ht="19.5" customHeight="1">
      <c r="A22" s="58" t="s">
        <v>6</v>
      </c>
      <c r="B22" s="59" t="s">
        <v>54</v>
      </c>
      <c r="C22" s="28" t="s">
        <v>0</v>
      </c>
      <c r="D22" s="30">
        <v>30817</v>
      </c>
      <c r="E22" s="32">
        <v>29383.1</v>
      </c>
      <c r="F22" s="40">
        <f t="shared" si="0"/>
        <v>-1433.9000000000015</v>
      </c>
      <c r="G22" s="39">
        <f t="shared" si="7"/>
        <v>95.34704870688256</v>
      </c>
      <c r="H22" s="39"/>
      <c r="I22" s="95"/>
      <c r="J22" s="58"/>
      <c r="K22" s="59" t="s">
        <v>197</v>
      </c>
      <c r="L22" s="28" t="s">
        <v>164</v>
      </c>
      <c r="M22" s="30">
        <v>4</v>
      </c>
      <c r="N22" s="30">
        <v>4</v>
      </c>
      <c r="O22" s="40">
        <f t="shared" si="8"/>
        <v>0</v>
      </c>
      <c r="P22" s="39">
        <f t="shared" si="9"/>
        <v>100</v>
      </c>
      <c r="Q22" s="39"/>
      <c r="R22" s="89"/>
      <c r="S22" s="58" t="s">
        <v>6</v>
      </c>
      <c r="T22" s="59" t="s">
        <v>54</v>
      </c>
      <c r="U22" s="28" t="s">
        <v>0</v>
      </c>
      <c r="V22" s="30">
        <v>16832</v>
      </c>
      <c r="W22" s="30">
        <v>16321.199999999999</v>
      </c>
      <c r="X22" s="40">
        <f t="shared" si="10"/>
        <v>-510.8000000000011</v>
      </c>
      <c r="Y22" s="39">
        <f t="shared" si="11"/>
        <v>96.9653041825095</v>
      </c>
      <c r="Z22" s="39"/>
      <c r="AA22" s="89"/>
      <c r="AB22" s="58" t="s">
        <v>6</v>
      </c>
      <c r="AC22" s="59" t="s">
        <v>54</v>
      </c>
      <c r="AD22" s="28" t="s">
        <v>0</v>
      </c>
      <c r="AE22" s="30">
        <f>D22+V22+M25</f>
        <v>50759</v>
      </c>
      <c r="AF22" s="30">
        <f>E22+W22+N25</f>
        <v>48688.299999999996</v>
      </c>
      <c r="AG22" s="30">
        <f t="shared" si="12"/>
        <v>-2070.7000000000044</v>
      </c>
      <c r="AH22" s="33">
        <f t="shared" si="13"/>
        <v>0.9592052640910971</v>
      </c>
      <c r="AI22" s="34"/>
    </row>
    <row r="23" spans="1:35" ht="21.75" customHeight="1">
      <c r="A23" s="58" t="s">
        <v>195</v>
      </c>
      <c r="B23" s="59" t="s">
        <v>196</v>
      </c>
      <c r="C23" s="28" t="s">
        <v>0</v>
      </c>
      <c r="D23" s="30">
        <v>95666</v>
      </c>
      <c r="E23" s="32">
        <v>91839</v>
      </c>
      <c r="F23" s="40">
        <f t="shared" si="0"/>
        <v>-3827</v>
      </c>
      <c r="G23" s="39">
        <f t="shared" si="7"/>
        <v>95.99962369075743</v>
      </c>
      <c r="H23" s="39"/>
      <c r="I23" s="95"/>
      <c r="J23" s="58"/>
      <c r="K23" s="59" t="s">
        <v>202</v>
      </c>
      <c r="L23" s="28" t="s">
        <v>61</v>
      </c>
      <c r="M23" s="30">
        <f>M19/M21/12*1000</f>
        <v>93630.43478260869</v>
      </c>
      <c r="N23" s="30">
        <f>N19/N21/12*1000</f>
        <v>89768.11594202899</v>
      </c>
      <c r="O23" s="40">
        <f t="shared" si="8"/>
        <v>-3862.3188405796973</v>
      </c>
      <c r="P23" s="39">
        <f t="shared" si="9"/>
        <v>95.87493228078323</v>
      </c>
      <c r="Q23" s="39"/>
      <c r="R23" s="89"/>
      <c r="S23" s="58" t="s">
        <v>195</v>
      </c>
      <c r="T23" s="59" t="s">
        <v>196</v>
      </c>
      <c r="U23" s="28" t="s">
        <v>0</v>
      </c>
      <c r="V23" s="30">
        <v>39077</v>
      </c>
      <c r="W23" s="30">
        <v>37201</v>
      </c>
      <c r="X23" s="40">
        <f t="shared" si="10"/>
        <v>-1876</v>
      </c>
      <c r="Y23" s="39">
        <f t="shared" si="11"/>
        <v>95.19922204877548</v>
      </c>
      <c r="Z23" s="39"/>
      <c r="AA23" s="89"/>
      <c r="AB23" s="58" t="s">
        <v>195</v>
      </c>
      <c r="AC23" s="59" t="s">
        <v>196</v>
      </c>
      <c r="AD23" s="28" t="s">
        <v>0</v>
      </c>
      <c r="AE23" s="30">
        <f>D23+M20+V23</f>
        <v>138948</v>
      </c>
      <c r="AF23" s="30">
        <f>E23+N20+W23+1</f>
        <v>133044</v>
      </c>
      <c r="AG23" s="30">
        <f t="shared" si="12"/>
        <v>-5904</v>
      </c>
      <c r="AH23" s="33">
        <f t="shared" si="13"/>
        <v>0.9575092840487088</v>
      </c>
      <c r="AI23" s="34"/>
    </row>
    <row r="24" spans="1:35" ht="21" customHeight="1">
      <c r="A24" s="58"/>
      <c r="B24" s="59" t="s">
        <v>193</v>
      </c>
      <c r="C24" s="28" t="s">
        <v>61</v>
      </c>
      <c r="D24" s="30">
        <f>D23/D25/12*1000</f>
        <v>87606.2271062271</v>
      </c>
      <c r="E24" s="30">
        <f>E23/E25/12*1000</f>
        <v>84101.64835164836</v>
      </c>
      <c r="F24" s="40">
        <f t="shared" si="0"/>
        <v>-3504.578754578746</v>
      </c>
      <c r="G24" s="39">
        <f t="shared" si="7"/>
        <v>95.99962369075745</v>
      </c>
      <c r="H24" s="39"/>
      <c r="I24" s="95"/>
      <c r="J24" s="58"/>
      <c r="K24" s="59" t="s">
        <v>203</v>
      </c>
      <c r="L24" s="28" t="s">
        <v>61</v>
      </c>
      <c r="M24" s="30">
        <f>M20/M22/12*1000</f>
        <v>87604.16666666667</v>
      </c>
      <c r="N24" s="30">
        <f>N20/N22/12*1000+3</f>
        <v>83398.83333333333</v>
      </c>
      <c r="O24" s="40">
        <f t="shared" si="8"/>
        <v>-4205.333333333343</v>
      </c>
      <c r="P24" s="39">
        <f t="shared" si="9"/>
        <v>95.19961950059452</v>
      </c>
      <c r="Q24" s="39"/>
      <c r="R24" s="89"/>
      <c r="S24" s="58"/>
      <c r="T24" s="59" t="s">
        <v>193</v>
      </c>
      <c r="U24" s="28" t="s">
        <v>61</v>
      </c>
      <c r="V24" s="30">
        <f>V23/V25/12*1000</f>
        <v>70791.66666666667</v>
      </c>
      <c r="W24" s="30">
        <f>W23/W25/12*1000+1</f>
        <v>67394.11594202899</v>
      </c>
      <c r="X24" s="40">
        <f t="shared" si="10"/>
        <v>-3397.55072463768</v>
      </c>
      <c r="Y24" s="39">
        <f t="shared" si="11"/>
        <v>95.20063464441999</v>
      </c>
      <c r="Z24" s="39"/>
      <c r="AA24" s="44"/>
      <c r="AB24" s="58"/>
      <c r="AC24" s="59" t="s">
        <v>193</v>
      </c>
      <c r="AD24" s="28" t="s">
        <v>61</v>
      </c>
      <c r="AE24" s="30">
        <f>AE23/AE25/12*1000</f>
        <v>82120.56737588652</v>
      </c>
      <c r="AF24" s="30">
        <f>AF23/AF25/12*1000</f>
        <v>78631.20567375886</v>
      </c>
      <c r="AG24" s="30">
        <f t="shared" si="12"/>
        <v>-3489.3617021276586</v>
      </c>
      <c r="AH24" s="33">
        <f t="shared" si="13"/>
        <v>0.9575092840487088</v>
      </c>
      <c r="AI24" s="34"/>
    </row>
    <row r="25" spans="1:35" ht="21" customHeight="1">
      <c r="A25" s="58"/>
      <c r="B25" s="59" t="s">
        <v>197</v>
      </c>
      <c r="C25" s="28" t="s">
        <v>164</v>
      </c>
      <c r="D25" s="30">
        <v>91</v>
      </c>
      <c r="E25" s="30">
        <v>91</v>
      </c>
      <c r="F25" s="40">
        <f t="shared" si="0"/>
        <v>0</v>
      </c>
      <c r="G25" s="39">
        <f t="shared" si="7"/>
        <v>100</v>
      </c>
      <c r="H25" s="39"/>
      <c r="I25" s="95"/>
      <c r="J25" s="58" t="s">
        <v>195</v>
      </c>
      <c r="K25" s="59" t="s">
        <v>54</v>
      </c>
      <c r="L25" s="28" t="s">
        <v>0</v>
      </c>
      <c r="M25" s="30">
        <v>3110</v>
      </c>
      <c r="N25" s="30">
        <v>2984</v>
      </c>
      <c r="O25" s="40">
        <f t="shared" si="8"/>
        <v>-126</v>
      </c>
      <c r="P25" s="39">
        <f t="shared" si="9"/>
        <v>95.94855305466238</v>
      </c>
      <c r="Q25" s="39"/>
      <c r="R25" s="89"/>
      <c r="S25" s="58"/>
      <c r="T25" s="59" t="s">
        <v>197</v>
      </c>
      <c r="U25" s="28" t="s">
        <v>164</v>
      </c>
      <c r="V25" s="30">
        <v>46</v>
      </c>
      <c r="W25" s="30">
        <v>46</v>
      </c>
      <c r="X25" s="40">
        <f t="shared" si="10"/>
        <v>0</v>
      </c>
      <c r="Y25" s="39">
        <f t="shared" si="11"/>
        <v>100</v>
      </c>
      <c r="Z25" s="39"/>
      <c r="AA25" s="44"/>
      <c r="AB25" s="58"/>
      <c r="AC25" s="59" t="s">
        <v>197</v>
      </c>
      <c r="AD25" s="28" t="s">
        <v>164</v>
      </c>
      <c r="AE25" s="30">
        <f>D25+M22+V25</f>
        <v>141</v>
      </c>
      <c r="AF25" s="30">
        <f>E25+N22+W25</f>
        <v>141</v>
      </c>
      <c r="AG25" s="30">
        <f t="shared" si="12"/>
        <v>0</v>
      </c>
      <c r="AH25" s="33">
        <f t="shared" si="13"/>
        <v>1</v>
      </c>
      <c r="AI25" s="34"/>
    </row>
    <row r="26" spans="1:35" ht="14.25" customHeight="1">
      <c r="A26" s="58" t="s">
        <v>198</v>
      </c>
      <c r="B26" s="59" t="s">
        <v>54</v>
      </c>
      <c r="C26" s="28" t="s">
        <v>0</v>
      </c>
      <c r="D26" s="30">
        <v>9901</v>
      </c>
      <c r="E26" s="32">
        <v>9504.9</v>
      </c>
      <c r="F26" s="40">
        <f t="shared" si="0"/>
        <v>-396.10000000000036</v>
      </c>
      <c r="G26" s="39">
        <f t="shared" si="7"/>
        <v>95.999394000606</v>
      </c>
      <c r="H26" s="39"/>
      <c r="I26" s="95"/>
      <c r="J26" s="58"/>
      <c r="K26" s="59"/>
      <c r="L26" s="28"/>
      <c r="M26" s="30"/>
      <c r="N26" s="30"/>
      <c r="O26" s="40"/>
      <c r="P26" s="39"/>
      <c r="Q26" s="39"/>
      <c r="R26" s="89"/>
      <c r="S26" s="58" t="s">
        <v>198</v>
      </c>
      <c r="T26" s="59" t="s">
        <v>54</v>
      </c>
      <c r="U26" s="28" t="s">
        <v>0</v>
      </c>
      <c r="V26" s="30">
        <v>3869</v>
      </c>
      <c r="W26" s="30">
        <v>4314.799999999999</v>
      </c>
      <c r="X26" s="40">
        <f t="shared" si="10"/>
        <v>445.7999999999993</v>
      </c>
      <c r="Y26" s="39">
        <f t="shared" si="11"/>
        <v>111.52235719824242</v>
      </c>
      <c r="Z26" s="39"/>
      <c r="AA26" s="44"/>
      <c r="AB26" s="58" t="s">
        <v>198</v>
      </c>
      <c r="AC26" s="59" t="s">
        <v>54</v>
      </c>
      <c r="AD26" s="28" t="s">
        <v>0</v>
      </c>
      <c r="AE26" s="30">
        <f>D26+V26</f>
        <v>13770</v>
      </c>
      <c r="AF26" s="30">
        <f>E26+W26</f>
        <v>13819.699999999999</v>
      </c>
      <c r="AG26" s="30">
        <f t="shared" si="12"/>
        <v>49.69999999999891</v>
      </c>
      <c r="AH26" s="33">
        <f t="shared" si="13"/>
        <v>1.0036092955700797</v>
      </c>
      <c r="AI26" s="34"/>
    </row>
    <row r="27" spans="1:35" s="7" customFormat="1" ht="22.5" customHeight="1">
      <c r="A27" s="61" t="s">
        <v>71</v>
      </c>
      <c r="B27" s="62" t="s">
        <v>7</v>
      </c>
      <c r="C27" s="31" t="s">
        <v>0</v>
      </c>
      <c r="D27" s="30">
        <v>405379</v>
      </c>
      <c r="E27" s="30">
        <v>464119</v>
      </c>
      <c r="F27" s="40">
        <f t="shared" si="0"/>
        <v>58740</v>
      </c>
      <c r="G27" s="39">
        <f t="shared" si="7"/>
        <v>114.49014379136561</v>
      </c>
      <c r="H27" s="39"/>
      <c r="I27" s="99" t="s">
        <v>185</v>
      </c>
      <c r="J27" s="61" t="s">
        <v>71</v>
      </c>
      <c r="K27" s="62" t="s">
        <v>7</v>
      </c>
      <c r="L27" s="31" t="s">
        <v>0</v>
      </c>
      <c r="M27" s="30">
        <v>14163</v>
      </c>
      <c r="N27" s="30">
        <v>11815</v>
      </c>
      <c r="O27" s="40">
        <f>N27-M27</f>
        <v>-2348</v>
      </c>
      <c r="P27" s="39">
        <f>N27/M27*100</f>
        <v>83.4215914707336</v>
      </c>
      <c r="Q27" s="39">
        <f>M27*0.95-N27</f>
        <v>1639.8499999999985</v>
      </c>
      <c r="R27" s="99"/>
      <c r="S27" s="61" t="s">
        <v>71</v>
      </c>
      <c r="T27" s="62" t="s">
        <v>7</v>
      </c>
      <c r="U27" s="31" t="s">
        <v>0</v>
      </c>
      <c r="V27" s="30">
        <v>166675</v>
      </c>
      <c r="W27" s="30">
        <v>198355</v>
      </c>
      <c r="X27" s="40">
        <f>W27-V27</f>
        <v>31680</v>
      </c>
      <c r="Y27" s="39">
        <f>W27/V27*100</f>
        <v>119.00704964751763</v>
      </c>
      <c r="Z27" s="39"/>
      <c r="AA27" s="99" t="s">
        <v>185</v>
      </c>
      <c r="AB27" s="61" t="s">
        <v>71</v>
      </c>
      <c r="AC27" s="62" t="s">
        <v>7</v>
      </c>
      <c r="AD27" s="31" t="s">
        <v>0</v>
      </c>
      <c r="AE27" s="73">
        <f>D27+M27+V27</f>
        <v>586217</v>
      </c>
      <c r="AF27" s="73">
        <f>E27+N27+W27</f>
        <v>674289</v>
      </c>
      <c r="AG27" s="30">
        <f>AF27-AE27</f>
        <v>88072</v>
      </c>
      <c r="AH27" s="33">
        <f>AF27/AE27</f>
        <v>1.1502378811941654</v>
      </c>
      <c r="AI27" s="34"/>
    </row>
    <row r="28" spans="1:35" s="7" customFormat="1" ht="15.75" customHeight="1">
      <c r="A28" s="61" t="s">
        <v>72</v>
      </c>
      <c r="B28" s="62" t="s">
        <v>8</v>
      </c>
      <c r="C28" s="31" t="s">
        <v>0</v>
      </c>
      <c r="D28" s="40">
        <f>D30</f>
        <v>81847</v>
      </c>
      <c r="E28" s="40">
        <f>E30</f>
        <v>90946</v>
      </c>
      <c r="F28" s="40">
        <f t="shared" si="0"/>
        <v>9099</v>
      </c>
      <c r="G28" s="79">
        <f t="shared" si="7"/>
        <v>111.11708431585762</v>
      </c>
      <c r="H28" s="79"/>
      <c r="I28" s="44"/>
      <c r="J28" s="61" t="s">
        <v>72</v>
      </c>
      <c r="K28" s="62" t="s">
        <v>8</v>
      </c>
      <c r="L28" s="31" t="s">
        <v>0</v>
      </c>
      <c r="M28" s="40">
        <f>M30</f>
        <v>2271</v>
      </c>
      <c r="N28" s="40">
        <f>N30</f>
        <v>5774</v>
      </c>
      <c r="O28" s="40">
        <f>N28-M28</f>
        <v>3503</v>
      </c>
      <c r="P28" s="39">
        <f>N28/M28*100</f>
        <v>254.24922941435491</v>
      </c>
      <c r="Q28" s="39"/>
      <c r="R28" s="89"/>
      <c r="S28" s="61" t="s">
        <v>72</v>
      </c>
      <c r="T28" s="62" t="s">
        <v>8</v>
      </c>
      <c r="U28" s="31" t="s">
        <v>0</v>
      </c>
      <c r="V28" s="40">
        <f>V30</f>
        <v>25799</v>
      </c>
      <c r="W28" s="39">
        <f>W30</f>
        <v>25090</v>
      </c>
      <c r="X28" s="40">
        <f>W28-V28</f>
        <v>-709</v>
      </c>
      <c r="Y28" s="39">
        <f>W28/V28*100</f>
        <v>97.2518314663359</v>
      </c>
      <c r="Z28" s="39"/>
      <c r="AA28" s="44"/>
      <c r="AB28" s="61" t="s">
        <v>72</v>
      </c>
      <c r="AC28" s="62" t="s">
        <v>8</v>
      </c>
      <c r="AD28" s="31" t="s">
        <v>0</v>
      </c>
      <c r="AE28" s="30">
        <f>AE30</f>
        <v>109917</v>
      </c>
      <c r="AF28" s="30">
        <f>AF30</f>
        <v>121810</v>
      </c>
      <c r="AG28" s="30">
        <f>AF28-AE28</f>
        <v>11893</v>
      </c>
      <c r="AH28" s="33">
        <f>AF28/AE28</f>
        <v>1.1081998235031887</v>
      </c>
      <c r="AI28" s="34"/>
    </row>
    <row r="29" spans="1:35" s="7" customFormat="1" ht="12" customHeight="1">
      <c r="A29" s="58"/>
      <c r="B29" s="59" t="s">
        <v>3</v>
      </c>
      <c r="C29" s="31" t="s">
        <v>0</v>
      </c>
      <c r="D29" s="60"/>
      <c r="E29" s="38"/>
      <c r="F29" s="40"/>
      <c r="G29" s="100"/>
      <c r="H29" s="104"/>
      <c r="J29" s="58"/>
      <c r="K29" s="59" t="s">
        <v>3</v>
      </c>
      <c r="L29" s="31" t="s">
        <v>0</v>
      </c>
      <c r="M29" s="65"/>
      <c r="N29" s="38"/>
      <c r="O29" s="40"/>
      <c r="P29" s="39"/>
      <c r="Q29" s="52"/>
      <c r="R29" s="92"/>
      <c r="S29" s="58"/>
      <c r="T29" s="59" t="s">
        <v>3</v>
      </c>
      <c r="U29" s="31" t="s">
        <v>0</v>
      </c>
      <c r="V29" s="65"/>
      <c r="W29" s="38"/>
      <c r="X29" s="40"/>
      <c r="Y29" s="39"/>
      <c r="Z29" s="52"/>
      <c r="AB29" s="58"/>
      <c r="AC29" s="59" t="s">
        <v>3</v>
      </c>
      <c r="AD29" s="31" t="s">
        <v>0</v>
      </c>
      <c r="AE29" s="30"/>
      <c r="AF29" s="30"/>
      <c r="AG29" s="30"/>
      <c r="AH29" s="33"/>
      <c r="AI29" s="34"/>
    </row>
    <row r="30" spans="1:35" s="7" customFormat="1" ht="40.5" customHeight="1">
      <c r="A30" s="58" t="s">
        <v>73</v>
      </c>
      <c r="B30" s="59" t="s">
        <v>74</v>
      </c>
      <c r="C30" s="31" t="s">
        <v>0</v>
      </c>
      <c r="D30" s="30">
        <v>81847</v>
      </c>
      <c r="E30" s="30">
        <v>90946</v>
      </c>
      <c r="F30" s="40">
        <f t="shared" si="0"/>
        <v>9099</v>
      </c>
      <c r="G30" s="79">
        <f t="shared" si="7"/>
        <v>111.11708431585762</v>
      </c>
      <c r="H30" s="79"/>
      <c r="I30" s="99" t="s">
        <v>213</v>
      </c>
      <c r="J30" s="58" t="s">
        <v>73</v>
      </c>
      <c r="K30" s="59" t="s">
        <v>74</v>
      </c>
      <c r="L30" s="31" t="s">
        <v>0</v>
      </c>
      <c r="M30" s="30">
        <v>2271</v>
      </c>
      <c r="N30" s="30">
        <v>5774</v>
      </c>
      <c r="O30" s="40">
        <f>N30-M30</f>
        <v>3503</v>
      </c>
      <c r="P30" s="39">
        <f>N30/M30*100</f>
        <v>254.24922941435491</v>
      </c>
      <c r="Q30" s="39"/>
      <c r="R30" s="88"/>
      <c r="S30" s="58" t="s">
        <v>73</v>
      </c>
      <c r="T30" s="59" t="s">
        <v>74</v>
      </c>
      <c r="U30" s="31" t="s">
        <v>0</v>
      </c>
      <c r="V30" s="30">
        <v>25799</v>
      </c>
      <c r="W30" s="30">
        <v>25090</v>
      </c>
      <c r="X30" s="40">
        <f>W30-V30</f>
        <v>-709</v>
      </c>
      <c r="Y30" s="39">
        <f>W30/V30*100</f>
        <v>97.2518314663359</v>
      </c>
      <c r="Z30" s="39"/>
      <c r="AA30" s="99"/>
      <c r="AB30" s="58" t="s">
        <v>73</v>
      </c>
      <c r="AC30" s="59" t="s">
        <v>74</v>
      </c>
      <c r="AD30" s="31" t="s">
        <v>0</v>
      </c>
      <c r="AE30" s="30">
        <f>D30+M30+V30</f>
        <v>109917</v>
      </c>
      <c r="AF30" s="30">
        <f>E30+N30+W30</f>
        <v>121810</v>
      </c>
      <c r="AG30" s="30">
        <f>AF30-AE30</f>
        <v>11893</v>
      </c>
      <c r="AH30" s="33">
        <f>AF30/AE30</f>
        <v>1.1081998235031887</v>
      </c>
      <c r="AI30" s="34"/>
    </row>
    <row r="31" spans="1:35" s="7" customFormat="1" ht="11.25">
      <c r="A31" s="61" t="s">
        <v>57</v>
      </c>
      <c r="B31" s="62" t="s">
        <v>9</v>
      </c>
      <c r="C31" s="31" t="s">
        <v>0</v>
      </c>
      <c r="D31" s="40">
        <f>SUM(D33:D45)</f>
        <v>49608</v>
      </c>
      <c r="E31" s="40">
        <f>SUM(E33:E45)</f>
        <v>50364</v>
      </c>
      <c r="F31" s="40">
        <f t="shared" si="0"/>
        <v>756</v>
      </c>
      <c r="G31" s="79">
        <f t="shared" si="7"/>
        <v>101.52394775036284</v>
      </c>
      <c r="H31" s="79"/>
      <c r="I31" s="42"/>
      <c r="J31" s="61" t="s">
        <v>57</v>
      </c>
      <c r="K31" s="62" t="s">
        <v>9</v>
      </c>
      <c r="L31" s="31" t="s">
        <v>0</v>
      </c>
      <c r="M31" s="40">
        <f>SUM(M33:M45)</f>
        <v>2767</v>
      </c>
      <c r="N31" s="40">
        <f>SUM(N33:N45)</f>
        <v>2746</v>
      </c>
      <c r="O31" s="40">
        <f>N31-M31</f>
        <v>-21</v>
      </c>
      <c r="P31" s="79">
        <f>N31/M31*100</f>
        <v>99.24105529454282</v>
      </c>
      <c r="Q31" s="79"/>
      <c r="R31" s="93"/>
      <c r="S31" s="61" t="s">
        <v>57</v>
      </c>
      <c r="T31" s="62" t="s">
        <v>9</v>
      </c>
      <c r="U31" s="31" t="s">
        <v>0</v>
      </c>
      <c r="V31" s="40">
        <f>SUM(V33:V45)</f>
        <v>107236</v>
      </c>
      <c r="W31" s="39">
        <f>SUM(W33:W45)</f>
        <v>141539</v>
      </c>
      <c r="X31" s="40">
        <f>W31-V31</f>
        <v>34303</v>
      </c>
      <c r="Y31" s="79">
        <f>W31/V31*100</f>
        <v>131.98832481629304</v>
      </c>
      <c r="Z31" s="79"/>
      <c r="AA31" s="42"/>
      <c r="AB31" s="61" t="s">
        <v>57</v>
      </c>
      <c r="AC31" s="62" t="s">
        <v>9</v>
      </c>
      <c r="AD31" s="31" t="s">
        <v>0</v>
      </c>
      <c r="AE31" s="54">
        <f>SUM(AE33:AE45)</f>
        <v>159611</v>
      </c>
      <c r="AF31" s="54">
        <f>SUM(AF33:AF45)</f>
        <v>194649</v>
      </c>
      <c r="AG31" s="30">
        <f>AF31-AE31</f>
        <v>35038</v>
      </c>
      <c r="AH31" s="33">
        <f>AF31/AE31</f>
        <v>1.2195212109441078</v>
      </c>
      <c r="AI31" s="34"/>
    </row>
    <row r="32" spans="1:35" ht="11.25" customHeight="1">
      <c r="A32" s="58"/>
      <c r="B32" s="59" t="s">
        <v>3</v>
      </c>
      <c r="C32" s="28"/>
      <c r="D32" s="32"/>
      <c r="E32" s="30"/>
      <c r="F32" s="40"/>
      <c r="G32" s="39"/>
      <c r="H32" s="39"/>
      <c r="I32" s="34"/>
      <c r="J32" s="58"/>
      <c r="K32" s="59" t="s">
        <v>3</v>
      </c>
      <c r="L32" s="28"/>
      <c r="M32" s="30"/>
      <c r="N32" s="30"/>
      <c r="O32" s="40"/>
      <c r="P32" s="79"/>
      <c r="Q32" s="79"/>
      <c r="R32" s="91"/>
      <c r="S32" s="58"/>
      <c r="T32" s="59" t="s">
        <v>3</v>
      </c>
      <c r="U32" s="28"/>
      <c r="V32" s="30"/>
      <c r="W32" s="30"/>
      <c r="X32" s="40"/>
      <c r="Y32" s="79"/>
      <c r="Z32" s="79"/>
      <c r="AA32" s="34"/>
      <c r="AB32" s="58"/>
      <c r="AC32" s="59" t="s">
        <v>3</v>
      </c>
      <c r="AD32" s="28"/>
      <c r="AE32" s="25"/>
      <c r="AF32" s="25"/>
      <c r="AG32" s="30"/>
      <c r="AH32" s="33"/>
      <c r="AI32" s="34"/>
    </row>
    <row r="33" spans="1:35" ht="11.25">
      <c r="A33" s="58" t="s">
        <v>75</v>
      </c>
      <c r="B33" s="59" t="s">
        <v>76</v>
      </c>
      <c r="C33" s="28" t="s">
        <v>0</v>
      </c>
      <c r="D33" s="30">
        <v>2059</v>
      </c>
      <c r="E33" s="30">
        <v>2041</v>
      </c>
      <c r="F33" s="40">
        <f aca="true" t="shared" si="14" ref="F33:F87">E33-D33</f>
        <v>-18</v>
      </c>
      <c r="G33" s="39">
        <f aca="true" t="shared" si="15" ref="G33:G87">E33/D33*100</f>
        <v>99.12578921806701</v>
      </c>
      <c r="H33" s="39"/>
      <c r="I33" s="42"/>
      <c r="J33" s="58" t="s">
        <v>75</v>
      </c>
      <c r="K33" s="59" t="s">
        <v>76</v>
      </c>
      <c r="L33" s="28" t="s">
        <v>0</v>
      </c>
      <c r="M33" s="30">
        <v>285</v>
      </c>
      <c r="N33" s="30">
        <v>277</v>
      </c>
      <c r="O33" s="40">
        <f aca="true" t="shared" si="16" ref="O33:O99">N33-M33</f>
        <v>-8</v>
      </c>
      <c r="P33" s="39">
        <f aca="true" t="shared" si="17" ref="P33:P99">N33/M33*100</f>
        <v>97.19298245614036</v>
      </c>
      <c r="Q33" s="39"/>
      <c r="R33" s="42"/>
      <c r="S33" s="58" t="s">
        <v>75</v>
      </c>
      <c r="T33" s="59" t="s">
        <v>76</v>
      </c>
      <c r="U33" s="28" t="s">
        <v>0</v>
      </c>
      <c r="V33" s="30">
        <v>1073</v>
      </c>
      <c r="W33" s="30">
        <v>1063</v>
      </c>
      <c r="X33" s="40">
        <f aca="true" t="shared" si="18" ref="X33:X97">W33-V33</f>
        <v>-10</v>
      </c>
      <c r="Y33" s="39">
        <f aca="true" t="shared" si="19" ref="Y33:Y97">W33/V33*100</f>
        <v>99.06803355079217</v>
      </c>
      <c r="Z33" s="39"/>
      <c r="AA33" s="42"/>
      <c r="AB33" s="58" t="s">
        <v>75</v>
      </c>
      <c r="AC33" s="59" t="s">
        <v>76</v>
      </c>
      <c r="AD33" s="28" t="s">
        <v>0</v>
      </c>
      <c r="AE33" s="30">
        <f aca="true" t="shared" si="20" ref="AE33:AE45">D33+M33+V33</f>
        <v>3417</v>
      </c>
      <c r="AF33" s="30">
        <f aca="true" t="shared" si="21" ref="AF33:AF47">E33+N33+W33</f>
        <v>3381</v>
      </c>
      <c r="AG33" s="30">
        <f aca="true" t="shared" si="22" ref="AG33:AG47">AF33-AE33</f>
        <v>-36</v>
      </c>
      <c r="AH33" s="33">
        <f aca="true" t="shared" si="23" ref="AH33:AH47">AF33/AE33</f>
        <v>0.9894644424934153</v>
      </c>
      <c r="AI33" s="34"/>
    </row>
    <row r="34" spans="1:35" ht="21">
      <c r="A34" s="58" t="s">
        <v>77</v>
      </c>
      <c r="B34" s="59" t="s">
        <v>78</v>
      </c>
      <c r="C34" s="28" t="s">
        <v>0</v>
      </c>
      <c r="D34" s="30">
        <v>5950</v>
      </c>
      <c r="E34" s="30">
        <v>5949</v>
      </c>
      <c r="F34" s="40">
        <f t="shared" si="14"/>
        <v>-1</v>
      </c>
      <c r="G34" s="39">
        <f t="shared" si="15"/>
        <v>99.98319327731092</v>
      </c>
      <c r="H34" s="39"/>
      <c r="I34" s="42"/>
      <c r="J34" s="58" t="s">
        <v>77</v>
      </c>
      <c r="K34" s="59" t="s">
        <v>78</v>
      </c>
      <c r="L34" s="28" t="s">
        <v>0</v>
      </c>
      <c r="M34" s="30">
        <v>23</v>
      </c>
      <c r="N34" s="30">
        <v>25</v>
      </c>
      <c r="O34" s="40">
        <f t="shared" si="16"/>
        <v>2</v>
      </c>
      <c r="P34" s="39">
        <f t="shared" si="17"/>
        <v>108.69565217391303</v>
      </c>
      <c r="Q34" s="39"/>
      <c r="R34" s="42" t="s">
        <v>191</v>
      </c>
      <c r="S34" s="58" t="s">
        <v>77</v>
      </c>
      <c r="T34" s="59" t="s">
        <v>78</v>
      </c>
      <c r="U34" s="28" t="s">
        <v>0</v>
      </c>
      <c r="V34" s="30">
        <v>291</v>
      </c>
      <c r="W34" s="30">
        <v>310</v>
      </c>
      <c r="X34" s="40">
        <f t="shared" si="18"/>
        <v>19</v>
      </c>
      <c r="Y34" s="39">
        <f t="shared" si="19"/>
        <v>106.52920962199313</v>
      </c>
      <c r="Z34" s="39"/>
      <c r="AA34" s="42" t="s">
        <v>191</v>
      </c>
      <c r="AB34" s="58" t="s">
        <v>77</v>
      </c>
      <c r="AC34" s="59" t="s">
        <v>78</v>
      </c>
      <c r="AD34" s="28" t="s">
        <v>0</v>
      </c>
      <c r="AE34" s="30">
        <f t="shared" si="20"/>
        <v>6264</v>
      </c>
      <c r="AF34" s="30">
        <f t="shared" si="21"/>
        <v>6284</v>
      </c>
      <c r="AG34" s="30">
        <f t="shared" si="22"/>
        <v>20</v>
      </c>
      <c r="AH34" s="33">
        <f t="shared" si="23"/>
        <v>1.0031928480204342</v>
      </c>
      <c r="AI34" s="34"/>
    </row>
    <row r="35" spans="1:35" ht="11.25">
      <c r="A35" s="58" t="s">
        <v>79</v>
      </c>
      <c r="B35" s="59" t="s">
        <v>80</v>
      </c>
      <c r="C35" s="28" t="s">
        <v>0</v>
      </c>
      <c r="D35" s="30">
        <v>382</v>
      </c>
      <c r="E35" s="30">
        <v>394</v>
      </c>
      <c r="F35" s="40">
        <f t="shared" si="14"/>
        <v>12</v>
      </c>
      <c r="G35" s="39">
        <f t="shared" si="15"/>
        <v>103.1413612565445</v>
      </c>
      <c r="H35" s="39"/>
      <c r="I35" s="42" t="s">
        <v>189</v>
      </c>
      <c r="J35" s="58" t="s">
        <v>79</v>
      </c>
      <c r="K35" s="59" t="s">
        <v>80</v>
      </c>
      <c r="L35" s="28" t="s">
        <v>0</v>
      </c>
      <c r="M35" s="30">
        <v>48</v>
      </c>
      <c r="N35" s="30">
        <v>52</v>
      </c>
      <c r="O35" s="40">
        <f t="shared" si="16"/>
        <v>4</v>
      </c>
      <c r="P35" s="39">
        <f t="shared" si="17"/>
        <v>108.33333333333333</v>
      </c>
      <c r="Q35" s="39"/>
      <c r="R35" s="42" t="s">
        <v>189</v>
      </c>
      <c r="S35" s="58" t="s">
        <v>79</v>
      </c>
      <c r="T35" s="59" t="s">
        <v>80</v>
      </c>
      <c r="U35" s="28" t="s">
        <v>0</v>
      </c>
      <c r="V35" s="30">
        <v>227</v>
      </c>
      <c r="W35" s="30">
        <v>236</v>
      </c>
      <c r="X35" s="40">
        <f t="shared" si="18"/>
        <v>9</v>
      </c>
      <c r="Y35" s="39">
        <f t="shared" si="19"/>
        <v>103.9647577092511</v>
      </c>
      <c r="Z35" s="39"/>
      <c r="AA35" s="42" t="s">
        <v>205</v>
      </c>
      <c r="AB35" s="58" t="s">
        <v>79</v>
      </c>
      <c r="AC35" s="59" t="s">
        <v>80</v>
      </c>
      <c r="AD35" s="28" t="s">
        <v>0</v>
      </c>
      <c r="AE35" s="30">
        <f t="shared" si="20"/>
        <v>657</v>
      </c>
      <c r="AF35" s="30">
        <f t="shared" si="21"/>
        <v>682</v>
      </c>
      <c r="AG35" s="30">
        <f t="shared" si="22"/>
        <v>25</v>
      </c>
      <c r="AH35" s="33">
        <f t="shared" si="23"/>
        <v>1.0380517503805176</v>
      </c>
      <c r="AI35" s="34"/>
    </row>
    <row r="36" spans="1:35" ht="33.75" customHeight="1">
      <c r="A36" s="58" t="s">
        <v>81</v>
      </c>
      <c r="B36" s="59" t="s">
        <v>82</v>
      </c>
      <c r="C36" s="28" t="s">
        <v>0</v>
      </c>
      <c r="D36" s="30">
        <v>17610</v>
      </c>
      <c r="E36" s="30">
        <v>17801</v>
      </c>
      <c r="F36" s="40">
        <f t="shared" si="14"/>
        <v>191</v>
      </c>
      <c r="G36" s="39">
        <f t="shared" si="15"/>
        <v>101.0846110164679</v>
      </c>
      <c r="H36" s="39"/>
      <c r="I36" s="42"/>
      <c r="J36" s="58" t="s">
        <v>81</v>
      </c>
      <c r="K36" s="59" t="s">
        <v>82</v>
      </c>
      <c r="L36" s="28" t="s">
        <v>0</v>
      </c>
      <c r="M36" s="30">
        <v>505</v>
      </c>
      <c r="N36" s="30">
        <v>520</v>
      </c>
      <c r="O36" s="40">
        <f t="shared" si="16"/>
        <v>15</v>
      </c>
      <c r="P36" s="39">
        <f t="shared" si="17"/>
        <v>102.97029702970298</v>
      </c>
      <c r="Q36" s="39"/>
      <c r="R36" s="42"/>
      <c r="S36" s="58" t="s">
        <v>81</v>
      </c>
      <c r="T36" s="59" t="s">
        <v>82</v>
      </c>
      <c r="U36" s="28" t="s">
        <v>0</v>
      </c>
      <c r="V36" s="30">
        <v>6740</v>
      </c>
      <c r="W36" s="30">
        <v>7515</v>
      </c>
      <c r="X36" s="40">
        <f t="shared" si="18"/>
        <v>775</v>
      </c>
      <c r="Y36" s="39">
        <f t="shared" si="19"/>
        <v>111.49851632047478</v>
      </c>
      <c r="Z36" s="39"/>
      <c r="AA36" s="42" t="s">
        <v>208</v>
      </c>
      <c r="AB36" s="58" t="s">
        <v>81</v>
      </c>
      <c r="AC36" s="59" t="s">
        <v>82</v>
      </c>
      <c r="AD36" s="28" t="s">
        <v>0</v>
      </c>
      <c r="AE36" s="30">
        <f t="shared" si="20"/>
        <v>24855</v>
      </c>
      <c r="AF36" s="30">
        <f t="shared" si="21"/>
        <v>25836</v>
      </c>
      <c r="AG36" s="30">
        <f t="shared" si="22"/>
        <v>981</v>
      </c>
      <c r="AH36" s="33">
        <f t="shared" si="23"/>
        <v>1.0394689197344598</v>
      </c>
      <c r="AI36" s="34"/>
    </row>
    <row r="37" spans="1:35" ht="21" customHeight="1">
      <c r="A37" s="58" t="s">
        <v>83</v>
      </c>
      <c r="B37" s="59" t="s">
        <v>84</v>
      </c>
      <c r="C37" s="28" t="s">
        <v>0</v>
      </c>
      <c r="D37" s="30">
        <v>1946</v>
      </c>
      <c r="E37" s="30">
        <v>2479</v>
      </c>
      <c r="F37" s="40">
        <f t="shared" si="14"/>
        <v>533</v>
      </c>
      <c r="G37" s="39">
        <f t="shared" si="15"/>
        <v>127.3895169578623</v>
      </c>
      <c r="H37" s="39"/>
      <c r="I37" s="42" t="s">
        <v>210</v>
      </c>
      <c r="J37" s="58" t="s">
        <v>83</v>
      </c>
      <c r="K37" s="59" t="s">
        <v>84</v>
      </c>
      <c r="L37" s="28" t="s">
        <v>0</v>
      </c>
      <c r="M37" s="30">
        <v>37</v>
      </c>
      <c r="N37" s="30">
        <v>37</v>
      </c>
      <c r="O37" s="40">
        <f t="shared" si="16"/>
        <v>0</v>
      </c>
      <c r="P37" s="39">
        <f t="shared" si="17"/>
        <v>100</v>
      </c>
      <c r="Q37" s="39"/>
      <c r="R37" s="42"/>
      <c r="S37" s="58" t="s">
        <v>83</v>
      </c>
      <c r="T37" s="59" t="s">
        <v>84</v>
      </c>
      <c r="U37" s="28" t="s">
        <v>0</v>
      </c>
      <c r="V37" s="30">
        <v>217</v>
      </c>
      <c r="W37" s="30">
        <v>217</v>
      </c>
      <c r="X37" s="40">
        <f t="shared" si="18"/>
        <v>0</v>
      </c>
      <c r="Y37" s="39">
        <f t="shared" si="19"/>
        <v>100</v>
      </c>
      <c r="Z37" s="39"/>
      <c r="AA37" s="42"/>
      <c r="AB37" s="58" t="s">
        <v>83</v>
      </c>
      <c r="AC37" s="59" t="s">
        <v>84</v>
      </c>
      <c r="AD37" s="28" t="s">
        <v>0</v>
      </c>
      <c r="AE37" s="30">
        <f t="shared" si="20"/>
        <v>2200</v>
      </c>
      <c r="AF37" s="30">
        <f t="shared" si="21"/>
        <v>2733</v>
      </c>
      <c r="AG37" s="30">
        <f t="shared" si="22"/>
        <v>533</v>
      </c>
      <c r="AH37" s="33">
        <f t="shared" si="23"/>
        <v>1.2422727272727272</v>
      </c>
      <c r="AI37" s="34"/>
    </row>
    <row r="38" spans="1:35" ht="11.25">
      <c r="A38" s="58" t="s">
        <v>85</v>
      </c>
      <c r="B38" s="59" t="s">
        <v>86</v>
      </c>
      <c r="C38" s="28" t="s">
        <v>0</v>
      </c>
      <c r="D38" s="30">
        <v>9599</v>
      </c>
      <c r="E38" s="30">
        <v>9745</v>
      </c>
      <c r="F38" s="40">
        <f t="shared" si="14"/>
        <v>146</v>
      </c>
      <c r="G38" s="39">
        <f t="shared" si="15"/>
        <v>101.52099176997605</v>
      </c>
      <c r="H38" s="39">
        <f>D38*0.95-E38</f>
        <v>-625.9500000000007</v>
      </c>
      <c r="I38" s="42"/>
      <c r="J38" s="58" t="s">
        <v>85</v>
      </c>
      <c r="K38" s="59" t="s">
        <v>86</v>
      </c>
      <c r="L38" s="28" t="s">
        <v>0</v>
      </c>
      <c r="M38" s="30">
        <v>746</v>
      </c>
      <c r="N38" s="30">
        <v>716</v>
      </c>
      <c r="O38" s="40">
        <f t="shared" si="16"/>
        <v>-30</v>
      </c>
      <c r="P38" s="39">
        <f t="shared" si="17"/>
        <v>95.97855227882037</v>
      </c>
      <c r="Q38" s="39">
        <f>M38*0.95-N38</f>
        <v>-7.300000000000068</v>
      </c>
      <c r="R38" s="42"/>
      <c r="S38" s="58" t="s">
        <v>85</v>
      </c>
      <c r="T38" s="59" t="s">
        <v>86</v>
      </c>
      <c r="U38" s="28" t="s">
        <v>0</v>
      </c>
      <c r="V38" s="30">
        <v>5729</v>
      </c>
      <c r="W38" s="30">
        <v>5820</v>
      </c>
      <c r="X38" s="40">
        <f t="shared" si="18"/>
        <v>91</v>
      </c>
      <c r="Y38" s="39">
        <f t="shared" si="19"/>
        <v>101.58840984465003</v>
      </c>
      <c r="Z38" s="39"/>
      <c r="AA38" s="42"/>
      <c r="AB38" s="58" t="s">
        <v>85</v>
      </c>
      <c r="AC38" s="59" t="s">
        <v>86</v>
      </c>
      <c r="AD38" s="28" t="s">
        <v>0</v>
      </c>
      <c r="AE38" s="30">
        <f t="shared" si="20"/>
        <v>16074</v>
      </c>
      <c r="AF38" s="30">
        <f t="shared" si="21"/>
        <v>16281</v>
      </c>
      <c r="AG38" s="30">
        <f t="shared" si="22"/>
        <v>207</v>
      </c>
      <c r="AH38" s="33">
        <f t="shared" si="23"/>
        <v>1.0128779395296752</v>
      </c>
      <c r="AI38" s="42"/>
    </row>
    <row r="39" spans="1:35" ht="22.5">
      <c r="A39" s="58" t="s">
        <v>87</v>
      </c>
      <c r="B39" s="59" t="s">
        <v>88</v>
      </c>
      <c r="C39" s="28" t="s">
        <v>0</v>
      </c>
      <c r="D39" s="30">
        <v>918</v>
      </c>
      <c r="E39" s="30">
        <v>928</v>
      </c>
      <c r="F39" s="40">
        <f t="shared" si="14"/>
        <v>10</v>
      </c>
      <c r="G39" s="39">
        <f t="shared" si="15"/>
        <v>101.08932461873638</v>
      </c>
      <c r="H39" s="39"/>
      <c r="I39" s="42"/>
      <c r="J39" s="58" t="s">
        <v>87</v>
      </c>
      <c r="K39" s="59" t="s">
        <v>88</v>
      </c>
      <c r="L39" s="28" t="s">
        <v>0</v>
      </c>
      <c r="M39" s="30">
        <v>119</v>
      </c>
      <c r="N39" s="30">
        <v>113</v>
      </c>
      <c r="O39" s="40">
        <f t="shared" si="16"/>
        <v>-6</v>
      </c>
      <c r="P39" s="39">
        <f t="shared" si="17"/>
        <v>94.9579831932773</v>
      </c>
      <c r="Q39" s="39">
        <f>M39*0.95-N39</f>
        <v>0.04999999999999716</v>
      </c>
      <c r="R39" s="42"/>
      <c r="S39" s="58" t="s">
        <v>87</v>
      </c>
      <c r="T39" s="59" t="s">
        <v>88</v>
      </c>
      <c r="U39" s="28" t="s">
        <v>0</v>
      </c>
      <c r="V39" s="30"/>
      <c r="W39" s="30"/>
      <c r="X39" s="40">
        <f t="shared" si="18"/>
        <v>0</v>
      </c>
      <c r="Y39" s="39" t="e">
        <f t="shared" si="19"/>
        <v>#DIV/0!</v>
      </c>
      <c r="Z39" s="39"/>
      <c r="AA39" s="42"/>
      <c r="AB39" s="58" t="s">
        <v>87</v>
      </c>
      <c r="AC39" s="59" t="s">
        <v>88</v>
      </c>
      <c r="AD39" s="28" t="s">
        <v>0</v>
      </c>
      <c r="AE39" s="30">
        <f t="shared" si="20"/>
        <v>1037</v>
      </c>
      <c r="AF39" s="30">
        <f t="shared" si="21"/>
        <v>1041</v>
      </c>
      <c r="AG39" s="30">
        <f t="shared" si="22"/>
        <v>4</v>
      </c>
      <c r="AH39" s="33">
        <f t="shared" si="23"/>
        <v>1.0038572806171648</v>
      </c>
      <c r="AI39" s="34"/>
    </row>
    <row r="40" spans="1:35" s="7" customFormat="1" ht="11.25">
      <c r="A40" s="58" t="s">
        <v>89</v>
      </c>
      <c r="B40" s="59" t="s">
        <v>90</v>
      </c>
      <c r="C40" s="31" t="s">
        <v>0</v>
      </c>
      <c r="D40" s="30">
        <v>905</v>
      </c>
      <c r="E40" s="30">
        <v>900</v>
      </c>
      <c r="F40" s="40">
        <f t="shared" si="14"/>
        <v>-5</v>
      </c>
      <c r="G40" s="39">
        <f t="shared" si="15"/>
        <v>99.4475138121547</v>
      </c>
      <c r="H40" s="39">
        <f>D40*0.95-E40</f>
        <v>-40.25</v>
      </c>
      <c r="I40" s="42"/>
      <c r="J40" s="58" t="s">
        <v>89</v>
      </c>
      <c r="K40" s="59" t="s">
        <v>90</v>
      </c>
      <c r="L40" s="31" t="s">
        <v>0</v>
      </c>
      <c r="M40" s="30">
        <v>99</v>
      </c>
      <c r="N40" s="30">
        <v>98</v>
      </c>
      <c r="O40" s="40">
        <f t="shared" si="16"/>
        <v>-1</v>
      </c>
      <c r="P40" s="39">
        <f t="shared" si="17"/>
        <v>98.98989898989899</v>
      </c>
      <c r="Q40" s="39">
        <f>M40*0.95-N40</f>
        <v>-3.950000000000003</v>
      </c>
      <c r="R40" s="42"/>
      <c r="S40" s="58" t="s">
        <v>89</v>
      </c>
      <c r="T40" s="59" t="s">
        <v>90</v>
      </c>
      <c r="U40" s="31" t="s">
        <v>0</v>
      </c>
      <c r="V40" s="30">
        <v>10850</v>
      </c>
      <c r="W40" s="30">
        <v>14070</v>
      </c>
      <c r="X40" s="40">
        <f t="shared" si="18"/>
        <v>3220</v>
      </c>
      <c r="Y40" s="39">
        <f t="shared" si="19"/>
        <v>129.67741935483872</v>
      </c>
      <c r="Z40" s="39"/>
      <c r="AA40" s="42" t="s">
        <v>192</v>
      </c>
      <c r="AB40" s="58" t="s">
        <v>89</v>
      </c>
      <c r="AC40" s="59" t="s">
        <v>90</v>
      </c>
      <c r="AD40" s="31" t="s">
        <v>0</v>
      </c>
      <c r="AE40" s="30">
        <f t="shared" si="20"/>
        <v>11854</v>
      </c>
      <c r="AF40" s="30">
        <f t="shared" si="21"/>
        <v>15068</v>
      </c>
      <c r="AG40" s="30">
        <f t="shared" si="22"/>
        <v>3214</v>
      </c>
      <c r="AH40" s="33">
        <f t="shared" si="23"/>
        <v>1.2711321073055508</v>
      </c>
      <c r="AI40" s="34"/>
    </row>
    <row r="41" spans="1:35" ht="12" customHeight="1">
      <c r="A41" s="58" t="s">
        <v>91</v>
      </c>
      <c r="B41" s="59" t="s">
        <v>92</v>
      </c>
      <c r="C41" s="28" t="s">
        <v>0</v>
      </c>
      <c r="D41" s="30">
        <v>1413</v>
      </c>
      <c r="E41" s="30">
        <v>1667</v>
      </c>
      <c r="F41" s="40">
        <f t="shared" si="14"/>
        <v>254</v>
      </c>
      <c r="G41" s="39">
        <f t="shared" si="15"/>
        <v>117.97593772116066</v>
      </c>
      <c r="H41" s="39"/>
      <c r="I41" s="42"/>
      <c r="J41" s="58" t="s">
        <v>91</v>
      </c>
      <c r="K41" s="59" t="s">
        <v>92</v>
      </c>
      <c r="L41" s="28" t="s">
        <v>0</v>
      </c>
      <c r="M41" s="30">
        <v>205</v>
      </c>
      <c r="N41" s="30">
        <v>241</v>
      </c>
      <c r="O41" s="40">
        <f t="shared" si="16"/>
        <v>36</v>
      </c>
      <c r="P41" s="39">
        <f t="shared" si="17"/>
        <v>117.56097560975608</v>
      </c>
      <c r="Q41" s="39"/>
      <c r="R41" s="42"/>
      <c r="S41" s="58" t="s">
        <v>91</v>
      </c>
      <c r="T41" s="59" t="s">
        <v>92</v>
      </c>
      <c r="U41" s="28" t="s">
        <v>0</v>
      </c>
      <c r="V41" s="30">
        <v>661</v>
      </c>
      <c r="W41" s="30">
        <v>780</v>
      </c>
      <c r="X41" s="40">
        <f t="shared" si="18"/>
        <v>119</v>
      </c>
      <c r="Y41" s="39">
        <f t="shared" si="19"/>
        <v>118.00302571860817</v>
      </c>
      <c r="Z41" s="39"/>
      <c r="AA41" s="42"/>
      <c r="AB41" s="58" t="s">
        <v>91</v>
      </c>
      <c r="AC41" s="59" t="s">
        <v>92</v>
      </c>
      <c r="AD41" s="28" t="s">
        <v>0</v>
      </c>
      <c r="AE41" s="30">
        <f t="shared" si="20"/>
        <v>2279</v>
      </c>
      <c r="AF41" s="30">
        <f t="shared" si="21"/>
        <v>2688</v>
      </c>
      <c r="AG41" s="30">
        <f t="shared" si="22"/>
        <v>409</v>
      </c>
      <c r="AH41" s="33">
        <f t="shared" si="23"/>
        <v>1.1794646774901272</v>
      </c>
      <c r="AI41" s="34"/>
    </row>
    <row r="42" spans="1:35" ht="11.25">
      <c r="A42" s="58" t="s">
        <v>93</v>
      </c>
      <c r="B42" s="59" t="s">
        <v>94</v>
      </c>
      <c r="C42" s="28" t="s">
        <v>0</v>
      </c>
      <c r="D42" s="30">
        <v>6628</v>
      </c>
      <c r="E42" s="30">
        <v>6495</v>
      </c>
      <c r="F42" s="40">
        <f t="shared" si="14"/>
        <v>-133</v>
      </c>
      <c r="G42" s="39">
        <f t="shared" si="15"/>
        <v>97.99336149668075</v>
      </c>
      <c r="H42" s="39"/>
      <c r="I42" s="42"/>
      <c r="J42" s="58" t="s">
        <v>93</v>
      </c>
      <c r="K42" s="59" t="s">
        <v>94</v>
      </c>
      <c r="L42" s="28" t="s">
        <v>0</v>
      </c>
      <c r="M42" s="30">
        <v>671</v>
      </c>
      <c r="N42" s="30">
        <v>638</v>
      </c>
      <c r="O42" s="40">
        <f t="shared" si="16"/>
        <v>-33</v>
      </c>
      <c r="P42" s="39">
        <f t="shared" si="17"/>
        <v>95.08196721311475</v>
      </c>
      <c r="Q42" s="39"/>
      <c r="R42" s="42"/>
      <c r="S42" s="58" t="s">
        <v>93</v>
      </c>
      <c r="T42" s="59" t="s">
        <v>94</v>
      </c>
      <c r="U42" s="28" t="s">
        <v>0</v>
      </c>
      <c r="V42" s="30">
        <v>2733</v>
      </c>
      <c r="W42" s="30">
        <v>2861</v>
      </c>
      <c r="X42" s="40">
        <f t="shared" si="18"/>
        <v>128</v>
      </c>
      <c r="Y42" s="39">
        <f t="shared" si="19"/>
        <v>104.68349798755945</v>
      </c>
      <c r="Z42" s="39"/>
      <c r="AA42" s="42"/>
      <c r="AB42" s="58" t="s">
        <v>93</v>
      </c>
      <c r="AC42" s="59" t="s">
        <v>94</v>
      </c>
      <c r="AD42" s="28" t="s">
        <v>0</v>
      </c>
      <c r="AE42" s="30">
        <f t="shared" si="20"/>
        <v>10032</v>
      </c>
      <c r="AF42" s="30">
        <f t="shared" si="21"/>
        <v>9994</v>
      </c>
      <c r="AG42" s="30">
        <f t="shared" si="22"/>
        <v>-38</v>
      </c>
      <c r="AH42" s="33">
        <f t="shared" si="23"/>
        <v>0.9962121212121212</v>
      </c>
      <c r="AI42" s="34"/>
    </row>
    <row r="43" spans="1:35" ht="31.5">
      <c r="A43" s="58" t="s">
        <v>95</v>
      </c>
      <c r="B43" s="59" t="s">
        <v>96</v>
      </c>
      <c r="C43" s="28" t="s">
        <v>0</v>
      </c>
      <c r="D43" s="30">
        <v>1906</v>
      </c>
      <c r="E43" s="30">
        <v>1677</v>
      </c>
      <c r="F43" s="40">
        <f t="shared" si="14"/>
        <v>-229</v>
      </c>
      <c r="G43" s="39">
        <f t="shared" si="15"/>
        <v>87.98530954879328</v>
      </c>
      <c r="H43" s="39">
        <f>D43*0.95-E43</f>
        <v>133.69999999999982</v>
      </c>
      <c r="I43" s="42" t="s">
        <v>190</v>
      </c>
      <c r="J43" s="58" t="s">
        <v>95</v>
      </c>
      <c r="K43" s="59" t="s">
        <v>96</v>
      </c>
      <c r="L43" s="28" t="s">
        <v>0</v>
      </c>
      <c r="M43" s="30">
        <v>0</v>
      </c>
      <c r="N43" s="30">
        <v>0</v>
      </c>
      <c r="O43" s="40">
        <f t="shared" si="16"/>
        <v>0</v>
      </c>
      <c r="P43" s="39" t="e">
        <f>N43/M43*100</f>
        <v>#DIV/0!</v>
      </c>
      <c r="Q43" s="39"/>
      <c r="R43" s="42"/>
      <c r="S43" s="58" t="s">
        <v>95</v>
      </c>
      <c r="T43" s="59" t="s">
        <v>96</v>
      </c>
      <c r="U43" s="28" t="s">
        <v>0</v>
      </c>
      <c r="V43" s="30"/>
      <c r="W43" s="30"/>
      <c r="X43" s="40">
        <f t="shared" si="18"/>
        <v>0</v>
      </c>
      <c r="Y43" s="39" t="e">
        <f t="shared" si="19"/>
        <v>#DIV/0!</v>
      </c>
      <c r="Z43" s="39"/>
      <c r="AA43" s="42"/>
      <c r="AB43" s="58" t="s">
        <v>95</v>
      </c>
      <c r="AC43" s="59" t="s">
        <v>96</v>
      </c>
      <c r="AD43" s="28" t="s">
        <v>0</v>
      </c>
      <c r="AE43" s="30">
        <f t="shared" si="20"/>
        <v>1906</v>
      </c>
      <c r="AF43" s="30">
        <f t="shared" si="21"/>
        <v>1677</v>
      </c>
      <c r="AG43" s="30">
        <f t="shared" si="22"/>
        <v>-229</v>
      </c>
      <c r="AH43" s="33">
        <f t="shared" si="23"/>
        <v>0.8798530954879329</v>
      </c>
      <c r="AI43" s="34"/>
    </row>
    <row r="44" spans="1:35" ht="63">
      <c r="A44" s="58" t="s">
        <v>97</v>
      </c>
      <c r="B44" s="59" t="s">
        <v>98</v>
      </c>
      <c r="C44" s="28" t="s">
        <v>0</v>
      </c>
      <c r="D44" s="32"/>
      <c r="E44" s="30"/>
      <c r="F44" s="40"/>
      <c r="G44" s="39"/>
      <c r="H44" s="39"/>
      <c r="I44" s="42"/>
      <c r="J44" s="58" t="s">
        <v>97</v>
      </c>
      <c r="K44" s="59" t="s">
        <v>98</v>
      </c>
      <c r="L44" s="28" t="s">
        <v>0</v>
      </c>
      <c r="M44" s="30"/>
      <c r="N44" s="30"/>
      <c r="O44" s="40"/>
      <c r="P44" s="39"/>
      <c r="Q44" s="39"/>
      <c r="R44" s="42"/>
      <c r="S44" s="58" t="s">
        <v>97</v>
      </c>
      <c r="T44" s="59" t="s">
        <v>98</v>
      </c>
      <c r="U44" s="28" t="s">
        <v>0</v>
      </c>
      <c r="V44" s="30">
        <v>78600</v>
      </c>
      <c r="W44" s="30">
        <v>108554</v>
      </c>
      <c r="X44" s="40">
        <f t="shared" si="18"/>
        <v>29954</v>
      </c>
      <c r="Y44" s="39">
        <f t="shared" si="19"/>
        <v>138.10941475826974</v>
      </c>
      <c r="Z44" s="39">
        <f>V44*0.95-W44</f>
        <v>-33884</v>
      </c>
      <c r="AA44" s="42" t="s">
        <v>209</v>
      </c>
      <c r="AB44" s="58" t="s">
        <v>97</v>
      </c>
      <c r="AC44" s="59" t="s">
        <v>98</v>
      </c>
      <c r="AD44" s="28" t="s">
        <v>0</v>
      </c>
      <c r="AE44" s="30">
        <f t="shared" si="20"/>
        <v>78600</v>
      </c>
      <c r="AF44" s="30">
        <f t="shared" si="21"/>
        <v>108554</v>
      </c>
      <c r="AG44" s="30">
        <f t="shared" si="22"/>
        <v>29954</v>
      </c>
      <c r="AH44" s="33">
        <f t="shared" si="23"/>
        <v>1.3810941475826972</v>
      </c>
      <c r="AI44" s="34"/>
    </row>
    <row r="45" spans="1:35" ht="11.25">
      <c r="A45" s="58" t="s">
        <v>99</v>
      </c>
      <c r="B45" s="59" t="s">
        <v>100</v>
      </c>
      <c r="C45" s="28" t="s">
        <v>0</v>
      </c>
      <c r="D45" s="30">
        <v>292</v>
      </c>
      <c r="E45" s="30">
        <v>288</v>
      </c>
      <c r="F45" s="40">
        <f t="shared" si="14"/>
        <v>-4</v>
      </c>
      <c r="G45" s="39">
        <f t="shared" si="15"/>
        <v>98.63013698630137</v>
      </c>
      <c r="H45" s="39"/>
      <c r="I45" s="42"/>
      <c r="J45" s="58" t="s">
        <v>99</v>
      </c>
      <c r="K45" s="59" t="s">
        <v>100</v>
      </c>
      <c r="L45" s="28" t="s">
        <v>0</v>
      </c>
      <c r="M45" s="30">
        <v>29</v>
      </c>
      <c r="N45" s="30">
        <v>29</v>
      </c>
      <c r="O45" s="40">
        <f t="shared" si="16"/>
        <v>0</v>
      </c>
      <c r="P45" s="39">
        <f t="shared" si="17"/>
        <v>100</v>
      </c>
      <c r="Q45" s="39"/>
      <c r="R45" s="42"/>
      <c r="S45" s="58" t="s">
        <v>99</v>
      </c>
      <c r="T45" s="59" t="s">
        <v>100</v>
      </c>
      <c r="U45" s="28" t="s">
        <v>0</v>
      </c>
      <c r="V45" s="30">
        <v>115</v>
      </c>
      <c r="W45" s="30">
        <v>113</v>
      </c>
      <c r="X45" s="40">
        <f t="shared" si="18"/>
        <v>-2</v>
      </c>
      <c r="Y45" s="39">
        <f t="shared" si="19"/>
        <v>98.26086956521739</v>
      </c>
      <c r="Z45" s="39"/>
      <c r="AA45" s="42"/>
      <c r="AB45" s="58" t="s">
        <v>99</v>
      </c>
      <c r="AC45" s="59" t="s">
        <v>100</v>
      </c>
      <c r="AD45" s="28" t="s">
        <v>0</v>
      </c>
      <c r="AE45" s="30">
        <f t="shared" si="20"/>
        <v>436</v>
      </c>
      <c r="AF45" s="30">
        <f t="shared" si="21"/>
        <v>430</v>
      </c>
      <c r="AG45" s="30">
        <f t="shared" si="22"/>
        <v>-6</v>
      </c>
      <c r="AH45" s="33">
        <f t="shared" si="23"/>
        <v>0.9862385321100917</v>
      </c>
      <c r="AI45" s="34"/>
    </row>
    <row r="46" spans="1:35" ht="11.25">
      <c r="A46" s="61" t="s">
        <v>20</v>
      </c>
      <c r="B46" s="62" t="s">
        <v>10</v>
      </c>
      <c r="C46" s="28" t="s">
        <v>0</v>
      </c>
      <c r="D46" s="40">
        <f>D47+D70-2</f>
        <v>59977</v>
      </c>
      <c r="E46" s="40">
        <f>E47+E70</f>
        <v>62113</v>
      </c>
      <c r="F46" s="40">
        <f t="shared" si="14"/>
        <v>2136</v>
      </c>
      <c r="G46" s="39">
        <f t="shared" si="15"/>
        <v>103.56136518998949</v>
      </c>
      <c r="H46" s="39"/>
      <c r="I46" s="42"/>
      <c r="J46" s="61" t="s">
        <v>20</v>
      </c>
      <c r="K46" s="62" t="s">
        <v>10</v>
      </c>
      <c r="L46" s="28" t="s">
        <v>0</v>
      </c>
      <c r="M46" s="76">
        <f>M47+M70+1</f>
        <v>19958</v>
      </c>
      <c r="N46" s="76">
        <f>N47+N70</f>
        <v>21055</v>
      </c>
      <c r="O46" s="40">
        <f t="shared" si="16"/>
        <v>1097</v>
      </c>
      <c r="P46" s="39">
        <f t="shared" si="17"/>
        <v>105.49654273975348</v>
      </c>
      <c r="Q46" s="39"/>
      <c r="R46" s="93"/>
      <c r="S46" s="61" t="s">
        <v>20</v>
      </c>
      <c r="T46" s="62" t="s">
        <v>10</v>
      </c>
      <c r="U46" s="28" t="s">
        <v>0</v>
      </c>
      <c r="V46" s="76">
        <f>V47+V70-1</f>
        <v>54249</v>
      </c>
      <c r="W46" s="76">
        <f>W47+W70</f>
        <v>57892</v>
      </c>
      <c r="X46" s="40">
        <f t="shared" si="18"/>
        <v>3643</v>
      </c>
      <c r="Y46" s="39">
        <f t="shared" si="19"/>
        <v>106.71533115817805</v>
      </c>
      <c r="Z46" s="79"/>
      <c r="AA46" s="42"/>
      <c r="AB46" s="61" t="s">
        <v>20</v>
      </c>
      <c r="AC46" s="62" t="s">
        <v>10</v>
      </c>
      <c r="AD46" s="28" t="s">
        <v>0</v>
      </c>
      <c r="AE46" s="78">
        <f>D46+M46+V46-1</f>
        <v>134183</v>
      </c>
      <c r="AF46" s="78">
        <f t="shared" si="21"/>
        <v>141060</v>
      </c>
      <c r="AG46" s="30">
        <f t="shared" si="22"/>
        <v>6877</v>
      </c>
      <c r="AH46" s="33">
        <f t="shared" si="23"/>
        <v>1.0512509036167026</v>
      </c>
      <c r="AI46" s="34"/>
    </row>
    <row r="47" spans="1:35" ht="11.25">
      <c r="A47" s="61" t="s">
        <v>101</v>
      </c>
      <c r="B47" s="62" t="s">
        <v>102</v>
      </c>
      <c r="C47" s="28" t="s">
        <v>0</v>
      </c>
      <c r="D47" s="40">
        <f>D49+D52+D53+D54+D55+D56+D57</f>
        <v>32651</v>
      </c>
      <c r="E47" s="40">
        <f>E49+E52+E53+E54+E55+E56+E57</f>
        <v>35029</v>
      </c>
      <c r="F47" s="40">
        <f t="shared" si="14"/>
        <v>2378</v>
      </c>
      <c r="G47" s="39">
        <f t="shared" si="15"/>
        <v>107.28308474472452</v>
      </c>
      <c r="H47" s="39"/>
      <c r="I47" s="42"/>
      <c r="J47" s="61" t="s">
        <v>101</v>
      </c>
      <c r="K47" s="62" t="s">
        <v>102</v>
      </c>
      <c r="L47" s="28" t="s">
        <v>0</v>
      </c>
      <c r="M47" s="76">
        <f>M49+M52+M53+M54+M55+M56+M57-1</f>
        <v>14998</v>
      </c>
      <c r="N47" s="76">
        <f>N49+N52+N53+N54+N55+N56+N57</f>
        <v>16147</v>
      </c>
      <c r="O47" s="40">
        <f t="shared" si="16"/>
        <v>1149</v>
      </c>
      <c r="P47" s="39">
        <f t="shared" si="17"/>
        <v>107.66102146952927</v>
      </c>
      <c r="Q47" s="39"/>
      <c r="R47" s="93"/>
      <c r="S47" s="61" t="s">
        <v>101</v>
      </c>
      <c r="T47" s="62" t="s">
        <v>102</v>
      </c>
      <c r="U47" s="28" t="s">
        <v>0</v>
      </c>
      <c r="V47" s="76">
        <f>V49+V52+V53+V54+V55+V56+V57-1</f>
        <v>40371</v>
      </c>
      <c r="W47" s="76">
        <f>W49+W52+W53+W54+W55+W56+W57</f>
        <v>44150</v>
      </c>
      <c r="X47" s="40">
        <f t="shared" si="18"/>
        <v>3779</v>
      </c>
      <c r="Y47" s="39">
        <f t="shared" si="19"/>
        <v>109.36067969582126</v>
      </c>
      <c r="Z47" s="79"/>
      <c r="AA47" s="42"/>
      <c r="AB47" s="61" t="s">
        <v>101</v>
      </c>
      <c r="AC47" s="62" t="s">
        <v>102</v>
      </c>
      <c r="AD47" s="28" t="s">
        <v>0</v>
      </c>
      <c r="AE47" s="78">
        <f>D47+M47+V47</f>
        <v>88020</v>
      </c>
      <c r="AF47" s="78">
        <f t="shared" si="21"/>
        <v>95326</v>
      </c>
      <c r="AG47" s="30">
        <f t="shared" si="22"/>
        <v>7306</v>
      </c>
      <c r="AH47" s="33">
        <f t="shared" si="23"/>
        <v>1.083003862758464</v>
      </c>
      <c r="AI47" s="43"/>
    </row>
    <row r="48" spans="1:35" ht="11.25" customHeight="1">
      <c r="A48" s="58"/>
      <c r="B48" s="59" t="s">
        <v>3</v>
      </c>
      <c r="C48" s="28" t="s">
        <v>0</v>
      </c>
      <c r="D48" s="32"/>
      <c r="E48" s="41"/>
      <c r="F48" s="40"/>
      <c r="G48" s="39"/>
      <c r="H48" s="39"/>
      <c r="I48" s="42"/>
      <c r="J48" s="58"/>
      <c r="K48" s="59" t="s">
        <v>3</v>
      </c>
      <c r="L48" s="28" t="s">
        <v>0</v>
      </c>
      <c r="M48" s="30"/>
      <c r="N48" s="41"/>
      <c r="O48" s="40"/>
      <c r="P48" s="39"/>
      <c r="Q48" s="39"/>
      <c r="R48" s="93"/>
      <c r="S48" s="58"/>
      <c r="T48" s="59" t="s">
        <v>3</v>
      </c>
      <c r="U48" s="28" t="s">
        <v>0</v>
      </c>
      <c r="V48" s="30"/>
      <c r="W48" s="41"/>
      <c r="X48" s="40"/>
      <c r="Y48" s="39"/>
      <c r="Z48" s="79"/>
      <c r="AA48" s="42"/>
      <c r="AB48" s="58"/>
      <c r="AC48" s="59" t="s">
        <v>3</v>
      </c>
      <c r="AD48" s="28" t="s">
        <v>0</v>
      </c>
      <c r="AE48" s="30"/>
      <c r="AF48" s="30"/>
      <c r="AG48" s="30"/>
      <c r="AH48" s="33"/>
      <c r="AI48" s="43"/>
    </row>
    <row r="49" spans="1:35" ht="21" customHeight="1">
      <c r="A49" s="58" t="s">
        <v>26</v>
      </c>
      <c r="B49" s="59" t="s">
        <v>55</v>
      </c>
      <c r="C49" s="28" t="s">
        <v>0</v>
      </c>
      <c r="D49" s="30">
        <v>16414</v>
      </c>
      <c r="E49" s="30">
        <v>16000</v>
      </c>
      <c r="F49" s="40">
        <f t="shared" si="14"/>
        <v>-414</v>
      </c>
      <c r="G49" s="39">
        <f t="shared" si="15"/>
        <v>97.47776288534178</v>
      </c>
      <c r="H49" s="39"/>
      <c r="I49" s="95"/>
      <c r="J49" s="58" t="s">
        <v>26</v>
      </c>
      <c r="K49" s="59" t="s">
        <v>55</v>
      </c>
      <c r="L49" s="28" t="s">
        <v>0</v>
      </c>
      <c r="M49" s="30">
        <v>7405</v>
      </c>
      <c r="N49" s="30">
        <v>7218</v>
      </c>
      <c r="O49" s="40">
        <f t="shared" si="16"/>
        <v>-187</v>
      </c>
      <c r="P49" s="39">
        <f t="shared" si="17"/>
        <v>97.474679270763</v>
      </c>
      <c r="Q49" s="39"/>
      <c r="R49" s="95"/>
      <c r="S49" s="58" t="s">
        <v>26</v>
      </c>
      <c r="T49" s="59" t="s">
        <v>55</v>
      </c>
      <c r="U49" s="28" t="s">
        <v>0</v>
      </c>
      <c r="V49" s="30">
        <v>16997</v>
      </c>
      <c r="W49" s="30">
        <v>16572</v>
      </c>
      <c r="X49" s="40">
        <f t="shared" si="18"/>
        <v>-425</v>
      </c>
      <c r="Y49" s="39">
        <f t="shared" si="19"/>
        <v>97.49955874566099</v>
      </c>
      <c r="Z49" s="39"/>
      <c r="AA49" s="95"/>
      <c r="AB49" s="58" t="s">
        <v>26</v>
      </c>
      <c r="AC49" s="59" t="s">
        <v>55</v>
      </c>
      <c r="AD49" s="28" t="s">
        <v>0</v>
      </c>
      <c r="AE49" s="30">
        <f aca="true" t="shared" si="24" ref="AE49:AE70">D49+M49+V49</f>
        <v>40816</v>
      </c>
      <c r="AF49" s="30">
        <f aca="true" t="shared" si="25" ref="AF49:AF70">E49+N49+W49</f>
        <v>39790</v>
      </c>
      <c r="AG49" s="30">
        <f>AF49-AE49</f>
        <v>-1026</v>
      </c>
      <c r="AH49" s="33">
        <f>AF49/AE49</f>
        <v>0.9748627989023912</v>
      </c>
      <c r="AI49" s="43"/>
    </row>
    <row r="50" spans="1:35" ht="21" customHeight="1">
      <c r="A50" s="58"/>
      <c r="B50" s="59" t="s">
        <v>193</v>
      </c>
      <c r="C50" s="28" t="s">
        <v>61</v>
      </c>
      <c r="D50" s="30">
        <f>D49/D51/12*1000-2</f>
        <v>91186.88888888888</v>
      </c>
      <c r="E50" s="30">
        <f>E49/E51/12*1000</f>
        <v>88888.8888888889</v>
      </c>
      <c r="F50" s="40">
        <f t="shared" si="14"/>
        <v>-2297.999999999971</v>
      </c>
      <c r="G50" s="39">
        <f t="shared" si="15"/>
        <v>97.47990086294085</v>
      </c>
      <c r="H50" s="39"/>
      <c r="I50" s="95"/>
      <c r="J50" s="58"/>
      <c r="K50" s="59" t="s">
        <v>193</v>
      </c>
      <c r="L50" s="28" t="s">
        <v>61</v>
      </c>
      <c r="M50" s="30">
        <f>M49/M51/12*1000</f>
        <v>88154.76190476191</v>
      </c>
      <c r="N50" s="30">
        <f>N49/N51/12*1000</f>
        <v>85928.57142857143</v>
      </c>
      <c r="O50" s="40">
        <f>N50-M50</f>
        <v>-2226.1904761904734</v>
      </c>
      <c r="P50" s="39">
        <f>N50/M50*100</f>
        <v>97.474679270763</v>
      </c>
      <c r="Q50" s="39"/>
      <c r="R50" s="95"/>
      <c r="S50" s="58"/>
      <c r="T50" s="59" t="s">
        <v>193</v>
      </c>
      <c r="U50" s="28" t="s">
        <v>61</v>
      </c>
      <c r="V50" s="30">
        <f>V49/V51/12*1000</f>
        <v>88526.04166666667</v>
      </c>
      <c r="W50" s="30">
        <f>W49/W51/12*1000</f>
        <v>86312.5</v>
      </c>
      <c r="X50" s="40">
        <f>W50-V50</f>
        <v>-2213.5416666666715</v>
      </c>
      <c r="Y50" s="39">
        <f>W50/V50*100</f>
        <v>97.49955874566099</v>
      </c>
      <c r="Z50" s="39"/>
      <c r="AA50" s="95"/>
      <c r="AB50" s="58"/>
      <c r="AC50" s="59" t="s">
        <v>193</v>
      </c>
      <c r="AD50" s="28" t="s">
        <v>61</v>
      </c>
      <c r="AE50" s="30">
        <f>AE49/AE51/12*1000</f>
        <v>89508.77192982456</v>
      </c>
      <c r="AF50" s="30">
        <f>AF49/AF51/12*1000</f>
        <v>87258.77192982456</v>
      </c>
      <c r="AG50" s="30">
        <f>AF50-AE50</f>
        <v>-2250</v>
      </c>
      <c r="AH50" s="33">
        <f>AF50/AE50</f>
        <v>0.9748627989023912</v>
      </c>
      <c r="AI50" s="43"/>
    </row>
    <row r="51" spans="1:35" ht="21" customHeight="1">
      <c r="A51" s="58"/>
      <c r="B51" s="59" t="s">
        <v>199</v>
      </c>
      <c r="C51" s="28" t="s">
        <v>164</v>
      </c>
      <c r="D51" s="30">
        <v>15</v>
      </c>
      <c r="E51" s="30">
        <v>15</v>
      </c>
      <c r="F51" s="40">
        <f t="shared" si="14"/>
        <v>0</v>
      </c>
      <c r="G51" s="39">
        <f t="shared" si="15"/>
        <v>100</v>
      </c>
      <c r="H51" s="39"/>
      <c r="I51" s="95"/>
      <c r="J51" s="58"/>
      <c r="K51" s="59" t="s">
        <v>199</v>
      </c>
      <c r="L51" s="28" t="s">
        <v>164</v>
      </c>
      <c r="M51" s="30">
        <v>7</v>
      </c>
      <c r="N51" s="30">
        <v>7</v>
      </c>
      <c r="O51" s="40">
        <f>N51-M51</f>
        <v>0</v>
      </c>
      <c r="P51" s="39">
        <f>N51/M51*100</f>
        <v>100</v>
      </c>
      <c r="Q51" s="39"/>
      <c r="R51" s="95"/>
      <c r="S51" s="58"/>
      <c r="T51" s="59" t="s">
        <v>199</v>
      </c>
      <c r="U51" s="28" t="s">
        <v>164</v>
      </c>
      <c r="V51" s="30">
        <v>16</v>
      </c>
      <c r="W51" s="30">
        <v>16</v>
      </c>
      <c r="X51" s="40">
        <f>W51-V51</f>
        <v>0</v>
      </c>
      <c r="Y51" s="39">
        <f>W51/V51*100</f>
        <v>100</v>
      </c>
      <c r="Z51" s="39"/>
      <c r="AA51" s="95"/>
      <c r="AB51" s="58"/>
      <c r="AC51" s="59" t="s">
        <v>199</v>
      </c>
      <c r="AD51" s="28" t="s">
        <v>164</v>
      </c>
      <c r="AE51" s="30">
        <f>D51+M51+V51</f>
        <v>38</v>
      </c>
      <c r="AF51" s="30">
        <f>E51+N51+W51</f>
        <v>38</v>
      </c>
      <c r="AG51" s="30">
        <f>AF51-AE51</f>
        <v>0</v>
      </c>
      <c r="AH51" s="33">
        <f>AF51/AE51</f>
        <v>1</v>
      </c>
      <c r="AI51" s="43"/>
    </row>
    <row r="52" spans="1:35" ht="15.75" customHeight="1">
      <c r="A52" s="58" t="s">
        <v>27</v>
      </c>
      <c r="B52" s="59" t="s">
        <v>54</v>
      </c>
      <c r="C52" s="28" t="s">
        <v>0</v>
      </c>
      <c r="D52" s="30">
        <v>1699</v>
      </c>
      <c r="E52" s="30">
        <v>1632</v>
      </c>
      <c r="F52" s="40">
        <f t="shared" si="14"/>
        <v>-67</v>
      </c>
      <c r="G52" s="39">
        <f t="shared" si="15"/>
        <v>96.05650382577987</v>
      </c>
      <c r="H52" s="39"/>
      <c r="I52" s="95"/>
      <c r="J52" s="58" t="s">
        <v>27</v>
      </c>
      <c r="K52" s="59" t="s">
        <v>54</v>
      </c>
      <c r="L52" s="28" t="s">
        <v>0</v>
      </c>
      <c r="M52" s="30">
        <v>766</v>
      </c>
      <c r="N52" s="30">
        <v>736</v>
      </c>
      <c r="O52" s="40">
        <f t="shared" si="16"/>
        <v>-30</v>
      </c>
      <c r="P52" s="39">
        <f t="shared" si="17"/>
        <v>96.08355091383812</v>
      </c>
      <c r="Q52" s="39"/>
      <c r="R52" s="44"/>
      <c r="S52" s="58" t="s">
        <v>27</v>
      </c>
      <c r="T52" s="59" t="s">
        <v>54</v>
      </c>
      <c r="U52" s="28" t="s">
        <v>0</v>
      </c>
      <c r="V52" s="30">
        <v>1683</v>
      </c>
      <c r="W52" s="30">
        <v>1616</v>
      </c>
      <c r="X52" s="40">
        <f t="shared" si="18"/>
        <v>-67</v>
      </c>
      <c r="Y52" s="39">
        <f t="shared" si="19"/>
        <v>96.0190136660725</v>
      </c>
      <c r="Z52" s="39"/>
      <c r="AA52" s="44"/>
      <c r="AB52" s="58" t="s">
        <v>27</v>
      </c>
      <c r="AC52" s="59" t="s">
        <v>54</v>
      </c>
      <c r="AD52" s="28" t="s">
        <v>0</v>
      </c>
      <c r="AE52" s="30">
        <f t="shared" si="24"/>
        <v>4148</v>
      </c>
      <c r="AF52" s="30">
        <f t="shared" si="25"/>
        <v>3984</v>
      </c>
      <c r="AG52" s="30">
        <f>AF52-AE52</f>
        <v>-164</v>
      </c>
      <c r="AH52" s="33">
        <f>AF52/AE52</f>
        <v>0.9604628736740598</v>
      </c>
      <c r="AI52" s="43"/>
    </row>
    <row r="53" spans="1:35" ht="11.25">
      <c r="A53" s="58" t="s">
        <v>28</v>
      </c>
      <c r="B53" s="59" t="s">
        <v>103</v>
      </c>
      <c r="C53" s="28" t="s">
        <v>0</v>
      </c>
      <c r="D53" s="30">
        <v>3694</v>
      </c>
      <c r="E53" s="30">
        <v>3914</v>
      </c>
      <c r="F53" s="40">
        <f t="shared" si="14"/>
        <v>220</v>
      </c>
      <c r="G53" s="39">
        <f t="shared" si="15"/>
        <v>105.95560368164591</v>
      </c>
      <c r="H53" s="39"/>
      <c r="I53" s="42" t="s">
        <v>204</v>
      </c>
      <c r="J53" s="58" t="s">
        <v>28</v>
      </c>
      <c r="K53" s="59" t="s">
        <v>103</v>
      </c>
      <c r="L53" s="28" t="s">
        <v>0</v>
      </c>
      <c r="M53" s="30">
        <v>1738</v>
      </c>
      <c r="N53" s="30">
        <v>1840</v>
      </c>
      <c r="O53" s="40">
        <f t="shared" si="16"/>
        <v>102</v>
      </c>
      <c r="P53" s="39">
        <f t="shared" si="17"/>
        <v>105.86881472957424</v>
      </c>
      <c r="Q53" s="39"/>
      <c r="R53" s="42"/>
      <c r="S53" s="58" t="s">
        <v>28</v>
      </c>
      <c r="T53" s="59" t="s">
        <v>103</v>
      </c>
      <c r="U53" s="28" t="s">
        <v>0</v>
      </c>
      <c r="V53" s="30">
        <v>5432</v>
      </c>
      <c r="W53" s="30">
        <v>5760</v>
      </c>
      <c r="X53" s="40">
        <f t="shared" si="18"/>
        <v>328</v>
      </c>
      <c r="Y53" s="39">
        <f t="shared" si="19"/>
        <v>106.03829160530192</v>
      </c>
      <c r="Z53" s="39"/>
      <c r="AA53" s="42"/>
      <c r="AB53" s="58" t="s">
        <v>28</v>
      </c>
      <c r="AC53" s="59" t="s">
        <v>103</v>
      </c>
      <c r="AD53" s="28" t="s">
        <v>0</v>
      </c>
      <c r="AE53" s="32">
        <f t="shared" si="24"/>
        <v>10864</v>
      </c>
      <c r="AF53" s="32">
        <f t="shared" si="25"/>
        <v>11514</v>
      </c>
      <c r="AG53" s="30">
        <f aca="true" t="shared" si="26" ref="AG53:AG108">AF53-AE53</f>
        <v>650</v>
      </c>
      <c r="AH53" s="33">
        <f aca="true" t="shared" si="27" ref="AH53:AH108">AF53/AE53</f>
        <v>1.0598306332842415</v>
      </c>
      <c r="AI53" s="43"/>
    </row>
    <row r="54" spans="1:35" ht="11.25">
      <c r="A54" s="58" t="s">
        <v>29</v>
      </c>
      <c r="B54" s="59" t="s">
        <v>56</v>
      </c>
      <c r="C54" s="28" t="s">
        <v>0</v>
      </c>
      <c r="D54" s="30">
        <v>926</v>
      </c>
      <c r="E54" s="30">
        <v>879</v>
      </c>
      <c r="F54" s="40">
        <f t="shared" si="14"/>
        <v>-47</v>
      </c>
      <c r="G54" s="40">
        <f t="shared" si="15"/>
        <v>94.9244060475162</v>
      </c>
      <c r="H54" s="39">
        <f>D54*0.95-E54</f>
        <v>0.6999999999999318</v>
      </c>
      <c r="I54" s="42"/>
      <c r="J54" s="58" t="s">
        <v>29</v>
      </c>
      <c r="K54" s="59" t="s">
        <v>56</v>
      </c>
      <c r="L54" s="28" t="s">
        <v>0</v>
      </c>
      <c r="M54" s="30">
        <v>436</v>
      </c>
      <c r="N54" s="30">
        <v>414</v>
      </c>
      <c r="O54" s="40">
        <f t="shared" si="16"/>
        <v>-22</v>
      </c>
      <c r="P54" s="39">
        <f t="shared" si="17"/>
        <v>94.95412844036697</v>
      </c>
      <c r="Q54" s="39">
        <f>M54*0.95-N54</f>
        <v>0.19999999999998863</v>
      </c>
      <c r="R54" s="42"/>
      <c r="S54" s="58" t="s">
        <v>29</v>
      </c>
      <c r="T54" s="59" t="s">
        <v>56</v>
      </c>
      <c r="U54" s="28" t="s">
        <v>0</v>
      </c>
      <c r="V54" s="30">
        <v>1363</v>
      </c>
      <c r="W54" s="30">
        <v>1296</v>
      </c>
      <c r="X54" s="40">
        <f t="shared" si="18"/>
        <v>-67</v>
      </c>
      <c r="Y54" s="39">
        <f t="shared" si="19"/>
        <v>95.08437270726338</v>
      </c>
      <c r="Z54" s="39">
        <f>V54*0.95-W54</f>
        <v>-1.150000000000091</v>
      </c>
      <c r="AA54" s="42"/>
      <c r="AB54" s="58" t="s">
        <v>29</v>
      </c>
      <c r="AC54" s="59" t="s">
        <v>56</v>
      </c>
      <c r="AD54" s="28" t="s">
        <v>0</v>
      </c>
      <c r="AE54" s="32">
        <f t="shared" si="24"/>
        <v>2725</v>
      </c>
      <c r="AF54" s="30">
        <f t="shared" si="25"/>
        <v>2589</v>
      </c>
      <c r="AG54" s="30">
        <f t="shared" si="26"/>
        <v>-136</v>
      </c>
      <c r="AH54" s="33">
        <f t="shared" si="27"/>
        <v>0.950091743119266</v>
      </c>
      <c r="AI54" s="43"/>
    </row>
    <row r="55" spans="1:35" ht="11.25">
      <c r="A55" s="58" t="s">
        <v>30</v>
      </c>
      <c r="B55" s="59" t="s">
        <v>7</v>
      </c>
      <c r="C55" s="28" t="s">
        <v>0</v>
      </c>
      <c r="D55" s="30">
        <v>4194</v>
      </c>
      <c r="E55" s="30">
        <v>6557</v>
      </c>
      <c r="F55" s="40">
        <f t="shared" si="14"/>
        <v>2363</v>
      </c>
      <c r="G55" s="39">
        <f>E55/D55*100</f>
        <v>156.34239389604195</v>
      </c>
      <c r="H55" s="39"/>
      <c r="I55" s="99" t="s">
        <v>185</v>
      </c>
      <c r="J55" s="58" t="s">
        <v>30</v>
      </c>
      <c r="K55" s="59" t="s">
        <v>7</v>
      </c>
      <c r="L55" s="28" t="s">
        <v>0</v>
      </c>
      <c r="M55" s="30">
        <v>1974</v>
      </c>
      <c r="N55" s="30">
        <v>3087</v>
      </c>
      <c r="O55" s="40">
        <f t="shared" si="16"/>
        <v>1113</v>
      </c>
      <c r="P55" s="39">
        <f t="shared" si="17"/>
        <v>156.38297872340425</v>
      </c>
      <c r="Q55" s="39"/>
      <c r="R55" s="105"/>
      <c r="S55" s="58" t="s">
        <v>30</v>
      </c>
      <c r="T55" s="59" t="s">
        <v>7</v>
      </c>
      <c r="U55" s="28" t="s">
        <v>0</v>
      </c>
      <c r="V55" s="30">
        <v>6168</v>
      </c>
      <c r="W55" s="30">
        <v>9648</v>
      </c>
      <c r="X55" s="40">
        <f t="shared" si="18"/>
        <v>3480</v>
      </c>
      <c r="Y55" s="39">
        <f t="shared" si="19"/>
        <v>156.42023346303503</v>
      </c>
      <c r="Z55" s="39"/>
      <c r="AA55" s="105"/>
      <c r="AB55" s="58" t="s">
        <v>30</v>
      </c>
      <c r="AC55" s="59" t="s">
        <v>7</v>
      </c>
      <c r="AD55" s="28" t="s">
        <v>0</v>
      </c>
      <c r="AE55" s="32">
        <f t="shared" si="24"/>
        <v>12336</v>
      </c>
      <c r="AF55" s="30">
        <f t="shared" si="25"/>
        <v>19292</v>
      </c>
      <c r="AG55" s="30">
        <f t="shared" si="26"/>
        <v>6956</v>
      </c>
      <c r="AH55" s="33">
        <f t="shared" si="27"/>
        <v>1.5638780804150454</v>
      </c>
      <c r="AI55" s="43"/>
    </row>
    <row r="56" spans="1:35" ht="11.25">
      <c r="A56" s="58" t="s">
        <v>31</v>
      </c>
      <c r="B56" s="59" t="s">
        <v>50</v>
      </c>
      <c r="C56" s="28" t="s">
        <v>0</v>
      </c>
      <c r="D56" s="30">
        <v>394</v>
      </c>
      <c r="E56" s="30">
        <v>396</v>
      </c>
      <c r="F56" s="40">
        <f t="shared" si="14"/>
        <v>2</v>
      </c>
      <c r="G56" s="39">
        <f t="shared" si="15"/>
        <v>100.50761421319795</v>
      </c>
      <c r="H56" s="39"/>
      <c r="I56" s="42"/>
      <c r="J56" s="58" t="s">
        <v>31</v>
      </c>
      <c r="K56" s="59" t="s">
        <v>50</v>
      </c>
      <c r="L56" s="28" t="s">
        <v>0</v>
      </c>
      <c r="M56" s="30">
        <v>186</v>
      </c>
      <c r="N56" s="30">
        <v>187</v>
      </c>
      <c r="O56" s="40">
        <f t="shared" si="16"/>
        <v>1</v>
      </c>
      <c r="P56" s="39">
        <f>N56/M56*100</f>
        <v>100.53763440860214</v>
      </c>
      <c r="Q56" s="39"/>
      <c r="R56" s="42"/>
      <c r="S56" s="58" t="s">
        <v>31</v>
      </c>
      <c r="T56" s="59" t="s">
        <v>50</v>
      </c>
      <c r="U56" s="28" t="s">
        <v>0</v>
      </c>
      <c r="V56" s="30">
        <v>581</v>
      </c>
      <c r="W56" s="30">
        <v>584</v>
      </c>
      <c r="X56" s="40">
        <f t="shared" si="18"/>
        <v>3</v>
      </c>
      <c r="Y56" s="39">
        <f>W56/V56*100</f>
        <v>100.51635111876077</v>
      </c>
      <c r="Z56" s="39"/>
      <c r="AA56" s="42"/>
      <c r="AB56" s="58" t="s">
        <v>31</v>
      </c>
      <c r="AC56" s="59" t="s">
        <v>50</v>
      </c>
      <c r="AD56" s="28" t="s">
        <v>0</v>
      </c>
      <c r="AE56" s="32">
        <f t="shared" si="24"/>
        <v>1161</v>
      </c>
      <c r="AF56" s="30">
        <f t="shared" si="25"/>
        <v>1167</v>
      </c>
      <c r="AG56" s="30">
        <f t="shared" si="26"/>
        <v>6</v>
      </c>
      <c r="AH56" s="33">
        <f t="shared" si="27"/>
        <v>1.0051679586563307</v>
      </c>
      <c r="AI56" s="47"/>
    </row>
    <row r="57" spans="1:35" s="45" customFormat="1" ht="11.25">
      <c r="A57" s="58" t="s">
        <v>32</v>
      </c>
      <c r="B57" s="59" t="s">
        <v>104</v>
      </c>
      <c r="C57" s="28" t="s">
        <v>0</v>
      </c>
      <c r="D57" s="40">
        <f>SUM(D58:D69)-1</f>
        <v>5330</v>
      </c>
      <c r="E57" s="40">
        <f>SUM(E58:E69)</f>
        <v>5651</v>
      </c>
      <c r="F57" s="40">
        <f t="shared" si="14"/>
        <v>321</v>
      </c>
      <c r="G57" s="79">
        <f t="shared" si="15"/>
        <v>106.02251407129455</v>
      </c>
      <c r="H57" s="39"/>
      <c r="I57" s="42"/>
      <c r="J57" s="58" t="s">
        <v>32</v>
      </c>
      <c r="K57" s="63" t="s">
        <v>104</v>
      </c>
      <c r="L57" s="28" t="s">
        <v>0</v>
      </c>
      <c r="M57" s="40">
        <f>SUM(M58:M69)</f>
        <v>2494</v>
      </c>
      <c r="N57" s="40">
        <f>SUM(N58:N69)</f>
        <v>2665</v>
      </c>
      <c r="O57" s="40">
        <f t="shared" si="16"/>
        <v>171</v>
      </c>
      <c r="P57" s="39">
        <f>N57/M57*100</f>
        <v>106.85645549318363</v>
      </c>
      <c r="Q57" s="39"/>
      <c r="R57" s="93"/>
      <c r="S57" s="58" t="s">
        <v>32</v>
      </c>
      <c r="T57" s="63" t="s">
        <v>104</v>
      </c>
      <c r="U57" s="28" t="s">
        <v>0</v>
      </c>
      <c r="V57" s="40">
        <f>SUM(V58:V69)</f>
        <v>8148</v>
      </c>
      <c r="W57" s="40">
        <f>SUM(W58:W69)</f>
        <v>8674</v>
      </c>
      <c r="X57" s="40">
        <f t="shared" si="18"/>
        <v>526</v>
      </c>
      <c r="Y57" s="79">
        <f t="shared" si="19"/>
        <v>106.45557191948944</v>
      </c>
      <c r="Z57" s="79"/>
      <c r="AA57" s="42"/>
      <c r="AB57" s="58" t="s">
        <v>32</v>
      </c>
      <c r="AC57" s="63" t="s">
        <v>104</v>
      </c>
      <c r="AD57" s="28" t="s">
        <v>0</v>
      </c>
      <c r="AE57" s="72">
        <f t="shared" si="24"/>
        <v>15972</v>
      </c>
      <c r="AF57" s="72">
        <f t="shared" si="25"/>
        <v>16990</v>
      </c>
      <c r="AG57" s="30">
        <f t="shared" si="26"/>
        <v>1018</v>
      </c>
      <c r="AH57" s="33">
        <f t="shared" si="27"/>
        <v>1.0637365389431506</v>
      </c>
      <c r="AI57" s="46"/>
    </row>
    <row r="58" spans="1:35" ht="22.5">
      <c r="A58" s="58" t="s">
        <v>105</v>
      </c>
      <c r="B58" s="59" t="s">
        <v>106</v>
      </c>
      <c r="C58" s="28" t="s">
        <v>0</v>
      </c>
      <c r="D58" s="30">
        <v>476</v>
      </c>
      <c r="E58" s="70">
        <v>513</v>
      </c>
      <c r="F58" s="40">
        <f t="shared" si="14"/>
        <v>37</v>
      </c>
      <c r="G58" s="39">
        <f t="shared" si="15"/>
        <v>107.77310924369748</v>
      </c>
      <c r="H58" s="39"/>
      <c r="I58" s="42"/>
      <c r="J58" s="58" t="s">
        <v>105</v>
      </c>
      <c r="K58" s="59" t="s">
        <v>106</v>
      </c>
      <c r="L58" s="28" t="s">
        <v>0</v>
      </c>
      <c r="M58" s="30">
        <v>224</v>
      </c>
      <c r="N58" s="30">
        <v>241</v>
      </c>
      <c r="O58" s="40">
        <f t="shared" si="16"/>
        <v>17</v>
      </c>
      <c r="P58" s="39">
        <f t="shared" si="17"/>
        <v>107.58928571428572</v>
      </c>
      <c r="Q58" s="39"/>
      <c r="R58" s="42"/>
      <c r="S58" s="58" t="s">
        <v>105</v>
      </c>
      <c r="T58" s="59" t="s">
        <v>106</v>
      </c>
      <c r="U58" s="28" t="s">
        <v>0</v>
      </c>
      <c r="V58" s="30">
        <v>700</v>
      </c>
      <c r="W58" s="70">
        <v>756</v>
      </c>
      <c r="X58" s="40">
        <f t="shared" si="18"/>
        <v>56</v>
      </c>
      <c r="Y58" s="39">
        <f>W58/V58*100</f>
        <v>108</v>
      </c>
      <c r="Z58" s="39"/>
      <c r="AA58" s="42"/>
      <c r="AB58" s="58" t="s">
        <v>105</v>
      </c>
      <c r="AC58" s="59" t="s">
        <v>106</v>
      </c>
      <c r="AD58" s="28" t="s">
        <v>0</v>
      </c>
      <c r="AE58" s="30">
        <f t="shared" si="24"/>
        <v>1400</v>
      </c>
      <c r="AF58" s="30">
        <f t="shared" si="25"/>
        <v>1510</v>
      </c>
      <c r="AG58" s="30">
        <f t="shared" si="26"/>
        <v>110</v>
      </c>
      <c r="AH58" s="33">
        <f t="shared" si="27"/>
        <v>1.0785714285714285</v>
      </c>
      <c r="AI58" s="36"/>
    </row>
    <row r="59" spans="1:35" ht="42.75" customHeight="1">
      <c r="A59" s="58" t="s">
        <v>107</v>
      </c>
      <c r="B59" s="59" t="s">
        <v>108</v>
      </c>
      <c r="C59" s="28" t="s">
        <v>0</v>
      </c>
      <c r="D59" s="30">
        <v>426</v>
      </c>
      <c r="E59" s="70">
        <v>407</v>
      </c>
      <c r="F59" s="40">
        <f t="shared" si="14"/>
        <v>-19</v>
      </c>
      <c r="G59" s="39">
        <f>(E59/D59*100)</f>
        <v>95.53990610328638</v>
      </c>
      <c r="H59" s="39"/>
      <c r="I59" s="42"/>
      <c r="J59" s="58" t="s">
        <v>107</v>
      </c>
      <c r="K59" s="59" t="s">
        <v>108</v>
      </c>
      <c r="L59" s="28" t="s">
        <v>0</v>
      </c>
      <c r="M59" s="30">
        <v>200</v>
      </c>
      <c r="N59" s="30">
        <v>191</v>
      </c>
      <c r="O59" s="40">
        <f t="shared" si="16"/>
        <v>-9</v>
      </c>
      <c r="P59" s="39">
        <f>N59/M59*100</f>
        <v>95.5</v>
      </c>
      <c r="Q59" s="39"/>
      <c r="R59" s="105"/>
      <c r="S59" s="58" t="s">
        <v>107</v>
      </c>
      <c r="T59" s="59" t="s">
        <v>108</v>
      </c>
      <c r="U59" s="28" t="s">
        <v>0</v>
      </c>
      <c r="V59" s="30">
        <v>626</v>
      </c>
      <c r="W59" s="70">
        <v>600</v>
      </c>
      <c r="X59" s="40">
        <f t="shared" si="18"/>
        <v>-26</v>
      </c>
      <c r="Y59" s="39">
        <f t="shared" si="19"/>
        <v>95.84664536741214</v>
      </c>
      <c r="Z59" s="39"/>
      <c r="AA59" s="42"/>
      <c r="AB59" s="58" t="s">
        <v>107</v>
      </c>
      <c r="AC59" s="59" t="s">
        <v>108</v>
      </c>
      <c r="AD59" s="28" t="s">
        <v>0</v>
      </c>
      <c r="AE59" s="32">
        <f t="shared" si="24"/>
        <v>1252</v>
      </c>
      <c r="AF59" s="30">
        <f t="shared" si="25"/>
        <v>1198</v>
      </c>
      <c r="AG59" s="30">
        <f t="shared" si="26"/>
        <v>-54</v>
      </c>
      <c r="AH59" s="33">
        <f t="shared" si="27"/>
        <v>0.9568690095846646</v>
      </c>
      <c r="AI59" s="36"/>
    </row>
    <row r="60" spans="1:35" ht="36.75" customHeight="1">
      <c r="A60" s="58" t="s">
        <v>109</v>
      </c>
      <c r="B60" s="59" t="s">
        <v>110</v>
      </c>
      <c r="C60" s="28" t="s">
        <v>0</v>
      </c>
      <c r="D60" s="30">
        <v>151</v>
      </c>
      <c r="E60" s="70">
        <v>157</v>
      </c>
      <c r="F60" s="40">
        <f t="shared" si="14"/>
        <v>6</v>
      </c>
      <c r="G60" s="39">
        <f>E60/D60*100</f>
        <v>103.97350993377484</v>
      </c>
      <c r="H60" s="39"/>
      <c r="I60" s="42"/>
      <c r="J60" s="58" t="s">
        <v>109</v>
      </c>
      <c r="K60" s="59" t="s">
        <v>110</v>
      </c>
      <c r="L60" s="28" t="s">
        <v>0</v>
      </c>
      <c r="M60" s="30">
        <v>71</v>
      </c>
      <c r="N60" s="30">
        <v>74</v>
      </c>
      <c r="O60" s="40">
        <f t="shared" si="16"/>
        <v>3</v>
      </c>
      <c r="P60" s="39">
        <f>N60/M60*100</f>
        <v>104.22535211267605</v>
      </c>
      <c r="Q60" s="39"/>
      <c r="R60" s="42"/>
      <c r="S60" s="58" t="s">
        <v>109</v>
      </c>
      <c r="T60" s="59" t="s">
        <v>110</v>
      </c>
      <c r="U60" s="28" t="s">
        <v>0</v>
      </c>
      <c r="V60" s="30">
        <v>223</v>
      </c>
      <c r="W60" s="30">
        <v>232</v>
      </c>
      <c r="X60" s="40">
        <f t="shared" si="18"/>
        <v>9</v>
      </c>
      <c r="Y60" s="39">
        <f t="shared" si="19"/>
        <v>104.03587443946188</v>
      </c>
      <c r="Z60" s="39"/>
      <c r="AA60" s="42"/>
      <c r="AB60" s="58" t="s">
        <v>109</v>
      </c>
      <c r="AC60" s="59" t="s">
        <v>110</v>
      </c>
      <c r="AD60" s="28" t="s">
        <v>0</v>
      </c>
      <c r="AE60" s="32">
        <f t="shared" si="24"/>
        <v>445</v>
      </c>
      <c r="AF60" s="30">
        <f t="shared" si="25"/>
        <v>463</v>
      </c>
      <c r="AG60" s="30">
        <f t="shared" si="26"/>
        <v>18</v>
      </c>
      <c r="AH60" s="33">
        <f t="shared" si="27"/>
        <v>1.0404494382022471</v>
      </c>
      <c r="AI60" s="36"/>
    </row>
    <row r="61" spans="1:35" ht="13.5" customHeight="1">
      <c r="A61" s="58" t="s">
        <v>111</v>
      </c>
      <c r="B61" s="59" t="s">
        <v>112</v>
      </c>
      <c r="C61" s="28" t="s">
        <v>0</v>
      </c>
      <c r="D61" s="30">
        <v>218</v>
      </c>
      <c r="E61" s="30">
        <v>210</v>
      </c>
      <c r="F61" s="40">
        <f t="shared" si="14"/>
        <v>-8</v>
      </c>
      <c r="G61" s="39">
        <f>E61/D61*100</f>
        <v>96.3302752293578</v>
      </c>
      <c r="H61" s="39"/>
      <c r="I61" s="42"/>
      <c r="J61" s="58" t="s">
        <v>111</v>
      </c>
      <c r="K61" s="59" t="s">
        <v>112</v>
      </c>
      <c r="L61" s="28" t="s">
        <v>0</v>
      </c>
      <c r="M61" s="30">
        <v>89</v>
      </c>
      <c r="N61" s="30">
        <v>85</v>
      </c>
      <c r="O61" s="40">
        <f t="shared" si="16"/>
        <v>-4</v>
      </c>
      <c r="P61" s="39">
        <f>N61/M61*100</f>
        <v>95.50561797752809</v>
      </c>
      <c r="Q61" s="39"/>
      <c r="R61" s="42"/>
      <c r="S61" s="58" t="s">
        <v>111</v>
      </c>
      <c r="T61" s="59" t="s">
        <v>112</v>
      </c>
      <c r="U61" s="28" t="s">
        <v>0</v>
      </c>
      <c r="V61" s="30">
        <v>374</v>
      </c>
      <c r="W61" s="30">
        <v>359</v>
      </c>
      <c r="X61" s="40">
        <f t="shared" si="18"/>
        <v>-15</v>
      </c>
      <c r="Y61" s="39">
        <f t="shared" si="19"/>
        <v>95.98930481283422</v>
      </c>
      <c r="Z61" s="39"/>
      <c r="AA61" s="42"/>
      <c r="AB61" s="58" t="s">
        <v>111</v>
      </c>
      <c r="AC61" s="59" t="s">
        <v>112</v>
      </c>
      <c r="AD61" s="28" t="s">
        <v>0</v>
      </c>
      <c r="AE61" s="30">
        <f t="shared" si="24"/>
        <v>681</v>
      </c>
      <c r="AF61" s="30">
        <f t="shared" si="25"/>
        <v>654</v>
      </c>
      <c r="AG61" s="30">
        <f t="shared" si="26"/>
        <v>-27</v>
      </c>
      <c r="AH61" s="33">
        <f t="shared" si="27"/>
        <v>0.960352422907489</v>
      </c>
      <c r="AI61" s="36"/>
    </row>
    <row r="62" spans="1:35" ht="24.75" customHeight="1">
      <c r="A62" s="58" t="s">
        <v>113</v>
      </c>
      <c r="B62" s="59" t="s">
        <v>114</v>
      </c>
      <c r="C62" s="28" t="s">
        <v>0</v>
      </c>
      <c r="D62" s="30">
        <v>355</v>
      </c>
      <c r="E62" s="30">
        <v>705</v>
      </c>
      <c r="F62" s="30">
        <f t="shared" si="14"/>
        <v>350</v>
      </c>
      <c r="G62" s="39">
        <f>E62/D62*100</f>
        <v>198.59154929577466</v>
      </c>
      <c r="H62" s="32"/>
      <c r="I62" s="42" t="s">
        <v>210</v>
      </c>
      <c r="J62" s="58" t="s">
        <v>113</v>
      </c>
      <c r="K62" s="59" t="s">
        <v>114</v>
      </c>
      <c r="L62" s="28" t="s">
        <v>0</v>
      </c>
      <c r="M62" s="30">
        <v>167</v>
      </c>
      <c r="N62" s="30">
        <v>332</v>
      </c>
      <c r="O62" s="40">
        <f t="shared" si="16"/>
        <v>165</v>
      </c>
      <c r="P62" s="39">
        <f>N62/M62*100</f>
        <v>198.80239520958082</v>
      </c>
      <c r="Q62" s="32"/>
      <c r="R62" s="42" t="s">
        <v>210</v>
      </c>
      <c r="S62" s="58" t="s">
        <v>113</v>
      </c>
      <c r="T62" s="59" t="s">
        <v>114</v>
      </c>
      <c r="U62" s="28" t="s">
        <v>0</v>
      </c>
      <c r="V62" s="30">
        <v>523</v>
      </c>
      <c r="W62" s="30">
        <v>1037</v>
      </c>
      <c r="X62" s="40">
        <f t="shared" si="18"/>
        <v>514</v>
      </c>
      <c r="Y62" s="39">
        <f>W62/V62*100</f>
        <v>198.2791586998088</v>
      </c>
      <c r="Z62" s="32"/>
      <c r="AA62" s="42" t="s">
        <v>210</v>
      </c>
      <c r="AB62" s="58" t="s">
        <v>113</v>
      </c>
      <c r="AC62" s="59" t="s">
        <v>114</v>
      </c>
      <c r="AD62" s="28" t="s">
        <v>0</v>
      </c>
      <c r="AE62" s="32">
        <f t="shared" si="24"/>
        <v>1045</v>
      </c>
      <c r="AF62" s="30">
        <f t="shared" si="25"/>
        <v>2074</v>
      </c>
      <c r="AG62" s="30">
        <f t="shared" si="26"/>
        <v>1029</v>
      </c>
      <c r="AH62" s="33">
        <f t="shared" si="27"/>
        <v>1.984688995215311</v>
      </c>
      <c r="AI62" s="36"/>
    </row>
    <row r="63" spans="1:35" ht="27" customHeight="1">
      <c r="A63" s="58" t="s">
        <v>115</v>
      </c>
      <c r="B63" s="59" t="s">
        <v>116</v>
      </c>
      <c r="C63" s="28" t="s">
        <v>0</v>
      </c>
      <c r="D63" s="30">
        <v>2795</v>
      </c>
      <c r="E63" s="75">
        <v>2738</v>
      </c>
      <c r="F63" s="40">
        <f t="shared" si="14"/>
        <v>-57</v>
      </c>
      <c r="G63" s="39">
        <f t="shared" si="15"/>
        <v>97.96064400715564</v>
      </c>
      <c r="H63" s="39"/>
      <c r="I63" s="42"/>
      <c r="J63" s="58" t="s">
        <v>115</v>
      </c>
      <c r="K63" s="59" t="s">
        <v>116</v>
      </c>
      <c r="L63" s="28" t="s">
        <v>0</v>
      </c>
      <c r="M63" s="30">
        <v>1315</v>
      </c>
      <c r="N63" s="30">
        <v>1289</v>
      </c>
      <c r="O63" s="40">
        <f t="shared" si="16"/>
        <v>-26</v>
      </c>
      <c r="P63" s="39">
        <f t="shared" si="17"/>
        <v>98.02281368821293</v>
      </c>
      <c r="Q63" s="39"/>
      <c r="R63" s="42"/>
      <c r="S63" s="58" t="s">
        <v>115</v>
      </c>
      <c r="T63" s="59" t="s">
        <v>116</v>
      </c>
      <c r="U63" s="28" t="s">
        <v>0</v>
      </c>
      <c r="V63" s="30">
        <v>4111</v>
      </c>
      <c r="W63" s="75">
        <v>4019</v>
      </c>
      <c r="X63" s="40">
        <f t="shared" si="18"/>
        <v>-92</v>
      </c>
      <c r="Y63" s="39">
        <f>W63/V63*100</f>
        <v>97.76210167842375</v>
      </c>
      <c r="Z63" s="39"/>
      <c r="AA63" s="42"/>
      <c r="AB63" s="58" t="s">
        <v>115</v>
      </c>
      <c r="AC63" s="59" t="s">
        <v>116</v>
      </c>
      <c r="AD63" s="28" t="s">
        <v>0</v>
      </c>
      <c r="AE63" s="30">
        <f t="shared" si="24"/>
        <v>8221</v>
      </c>
      <c r="AF63" s="30">
        <f t="shared" si="25"/>
        <v>8046</v>
      </c>
      <c r="AG63" s="30">
        <f t="shared" si="26"/>
        <v>-175</v>
      </c>
      <c r="AH63" s="33">
        <f t="shared" si="27"/>
        <v>0.9787130519401532</v>
      </c>
      <c r="AI63" s="36"/>
    </row>
    <row r="64" spans="1:35" ht="22.5">
      <c r="A64" s="58" t="s">
        <v>117</v>
      </c>
      <c r="B64" s="59" t="s">
        <v>118</v>
      </c>
      <c r="C64" s="28" t="s">
        <v>0</v>
      </c>
      <c r="D64" s="30">
        <v>381</v>
      </c>
      <c r="E64" s="30">
        <v>383</v>
      </c>
      <c r="F64" s="40">
        <f t="shared" si="14"/>
        <v>2</v>
      </c>
      <c r="G64" s="39">
        <f>E64/D64*100</f>
        <v>100.5249343832021</v>
      </c>
      <c r="H64" s="39"/>
      <c r="I64" s="42"/>
      <c r="J64" s="58" t="s">
        <v>117</v>
      </c>
      <c r="K64" s="59" t="s">
        <v>118</v>
      </c>
      <c r="L64" s="28" t="s">
        <v>0</v>
      </c>
      <c r="M64" s="30">
        <v>179</v>
      </c>
      <c r="N64" s="30">
        <v>179</v>
      </c>
      <c r="O64" s="40">
        <f t="shared" si="16"/>
        <v>0</v>
      </c>
      <c r="P64" s="39">
        <f t="shared" si="17"/>
        <v>100</v>
      </c>
      <c r="Q64" s="39"/>
      <c r="R64" s="42"/>
      <c r="S64" s="58" t="s">
        <v>117</v>
      </c>
      <c r="T64" s="59" t="s">
        <v>118</v>
      </c>
      <c r="U64" s="28" t="s">
        <v>0</v>
      </c>
      <c r="V64" s="30">
        <v>812</v>
      </c>
      <c r="W64" s="30">
        <v>813</v>
      </c>
      <c r="X64" s="40">
        <f t="shared" si="18"/>
        <v>1</v>
      </c>
      <c r="Y64" s="39">
        <f>W64/V64*100</f>
        <v>100.1231527093596</v>
      </c>
      <c r="Z64" s="39"/>
      <c r="AA64" s="42"/>
      <c r="AB64" s="58" t="s">
        <v>117</v>
      </c>
      <c r="AC64" s="59" t="s">
        <v>118</v>
      </c>
      <c r="AD64" s="28" t="s">
        <v>0</v>
      </c>
      <c r="AE64" s="30">
        <f t="shared" si="24"/>
        <v>1372</v>
      </c>
      <c r="AF64" s="30">
        <f t="shared" si="25"/>
        <v>1375</v>
      </c>
      <c r="AG64" s="30">
        <f t="shared" si="26"/>
        <v>3</v>
      </c>
      <c r="AH64" s="33">
        <f t="shared" si="27"/>
        <v>1.0021865889212829</v>
      </c>
      <c r="AI64" s="36"/>
    </row>
    <row r="65" spans="1:35" ht="12.75" customHeight="1">
      <c r="A65" s="58" t="s">
        <v>119</v>
      </c>
      <c r="B65" s="59" t="s">
        <v>120</v>
      </c>
      <c r="C65" s="28" t="s">
        <v>0</v>
      </c>
      <c r="D65" s="30">
        <v>95</v>
      </c>
      <c r="E65" s="30">
        <v>46</v>
      </c>
      <c r="F65" s="40">
        <f t="shared" si="14"/>
        <v>-49</v>
      </c>
      <c r="G65" s="39">
        <f>E65/D65*100</f>
        <v>48.421052631578945</v>
      </c>
      <c r="H65" s="39"/>
      <c r="I65" s="42"/>
      <c r="J65" s="58" t="s">
        <v>119</v>
      </c>
      <c r="K65" s="59" t="s">
        <v>120</v>
      </c>
      <c r="L65" s="28" t="s">
        <v>0</v>
      </c>
      <c r="M65" s="30">
        <v>45</v>
      </c>
      <c r="N65" s="30">
        <v>43</v>
      </c>
      <c r="O65" s="40">
        <f t="shared" si="16"/>
        <v>-2</v>
      </c>
      <c r="P65" s="39">
        <f>N65/M65*100</f>
        <v>95.55555555555556</v>
      </c>
      <c r="Q65" s="39"/>
      <c r="R65" s="42"/>
      <c r="S65" s="58" t="s">
        <v>119</v>
      </c>
      <c r="T65" s="59" t="s">
        <v>120</v>
      </c>
      <c r="U65" s="28" t="s">
        <v>0</v>
      </c>
      <c r="V65" s="30">
        <v>140</v>
      </c>
      <c r="W65" s="30">
        <v>133</v>
      </c>
      <c r="X65" s="40">
        <f t="shared" si="18"/>
        <v>-7</v>
      </c>
      <c r="Y65" s="39">
        <f t="shared" si="19"/>
        <v>95</v>
      </c>
      <c r="Z65" s="39"/>
      <c r="AA65" s="42"/>
      <c r="AB65" s="58" t="s">
        <v>119</v>
      </c>
      <c r="AC65" s="59" t="s">
        <v>120</v>
      </c>
      <c r="AD65" s="28" t="s">
        <v>0</v>
      </c>
      <c r="AE65" s="30">
        <f t="shared" si="24"/>
        <v>280</v>
      </c>
      <c r="AF65" s="30">
        <f t="shared" si="25"/>
        <v>222</v>
      </c>
      <c r="AG65" s="30">
        <f t="shared" si="26"/>
        <v>-58</v>
      </c>
      <c r="AH65" s="33">
        <f t="shared" si="27"/>
        <v>0.7928571428571428</v>
      </c>
      <c r="AI65" s="36"/>
    </row>
    <row r="66" spans="1:35" ht="12.75" customHeight="1">
      <c r="A66" s="64" t="s">
        <v>121</v>
      </c>
      <c r="B66" s="59" t="s">
        <v>122</v>
      </c>
      <c r="C66" s="28" t="s">
        <v>0</v>
      </c>
      <c r="D66" s="30">
        <v>14</v>
      </c>
      <c r="E66" s="30">
        <v>0</v>
      </c>
      <c r="F66" s="40">
        <f t="shared" si="14"/>
        <v>-14</v>
      </c>
      <c r="G66" s="39">
        <f t="shared" si="15"/>
        <v>0</v>
      </c>
      <c r="H66" s="39"/>
      <c r="I66" s="36"/>
      <c r="J66" s="64" t="s">
        <v>121</v>
      </c>
      <c r="K66" s="59" t="s">
        <v>122</v>
      </c>
      <c r="L66" s="28" t="s">
        <v>0</v>
      </c>
      <c r="M66" s="30">
        <v>7</v>
      </c>
      <c r="N66" s="30"/>
      <c r="O66" s="40">
        <f t="shared" si="16"/>
        <v>-7</v>
      </c>
      <c r="P66" s="39">
        <f t="shared" si="17"/>
        <v>0</v>
      </c>
      <c r="Q66" s="39"/>
      <c r="R66" s="94"/>
      <c r="S66" s="64" t="s">
        <v>121</v>
      </c>
      <c r="T66" s="59" t="s">
        <v>122</v>
      </c>
      <c r="U66" s="28" t="s">
        <v>0</v>
      </c>
      <c r="V66" s="30">
        <v>22</v>
      </c>
      <c r="W66" s="30"/>
      <c r="X66" s="40">
        <f t="shared" si="18"/>
        <v>-22</v>
      </c>
      <c r="Y66" s="39">
        <f t="shared" si="19"/>
        <v>0</v>
      </c>
      <c r="Z66" s="39"/>
      <c r="AA66" s="42"/>
      <c r="AB66" s="64" t="s">
        <v>121</v>
      </c>
      <c r="AC66" s="59" t="s">
        <v>122</v>
      </c>
      <c r="AD66" s="28" t="s">
        <v>0</v>
      </c>
      <c r="AE66" s="30">
        <f t="shared" si="24"/>
        <v>43</v>
      </c>
      <c r="AF66" s="30">
        <f t="shared" si="25"/>
        <v>0</v>
      </c>
      <c r="AG66" s="30">
        <f t="shared" si="26"/>
        <v>-43</v>
      </c>
      <c r="AH66" s="33">
        <f t="shared" si="27"/>
        <v>0</v>
      </c>
      <c r="AI66" s="36"/>
    </row>
    <row r="67" spans="1:35" ht="21">
      <c r="A67" s="58" t="s">
        <v>123</v>
      </c>
      <c r="B67" s="59" t="s">
        <v>124</v>
      </c>
      <c r="C67" s="28" t="s">
        <v>0</v>
      </c>
      <c r="D67" s="30">
        <v>278</v>
      </c>
      <c r="E67" s="30">
        <v>315</v>
      </c>
      <c r="F67" s="40">
        <f t="shared" si="14"/>
        <v>37</v>
      </c>
      <c r="G67" s="39">
        <f>E67/D67*100</f>
        <v>113.30935251798562</v>
      </c>
      <c r="H67" s="39"/>
      <c r="I67" s="42" t="s">
        <v>214</v>
      </c>
      <c r="J67" s="58" t="s">
        <v>123</v>
      </c>
      <c r="K67" s="59" t="s">
        <v>124</v>
      </c>
      <c r="L67" s="28" t="s">
        <v>0</v>
      </c>
      <c r="M67" s="30">
        <v>131</v>
      </c>
      <c r="N67" s="30">
        <v>148</v>
      </c>
      <c r="O67" s="40">
        <f t="shared" si="16"/>
        <v>17</v>
      </c>
      <c r="P67" s="39">
        <f t="shared" si="17"/>
        <v>112.97709923664124</v>
      </c>
      <c r="Q67" s="39"/>
      <c r="R67" s="42" t="s">
        <v>214</v>
      </c>
      <c r="S67" s="58" t="s">
        <v>123</v>
      </c>
      <c r="T67" s="59" t="s">
        <v>124</v>
      </c>
      <c r="U67" s="28" t="s">
        <v>0</v>
      </c>
      <c r="V67" s="30">
        <v>409</v>
      </c>
      <c r="W67" s="30">
        <v>463</v>
      </c>
      <c r="X67" s="40">
        <f t="shared" si="18"/>
        <v>54</v>
      </c>
      <c r="Y67" s="39">
        <f t="shared" si="19"/>
        <v>113.20293398533008</v>
      </c>
      <c r="Z67" s="39"/>
      <c r="AA67" s="42" t="s">
        <v>214</v>
      </c>
      <c r="AB67" s="58" t="s">
        <v>123</v>
      </c>
      <c r="AC67" s="59" t="s">
        <v>124</v>
      </c>
      <c r="AD67" s="28" t="s">
        <v>0</v>
      </c>
      <c r="AE67" s="30">
        <f t="shared" si="24"/>
        <v>818</v>
      </c>
      <c r="AF67" s="30">
        <f t="shared" si="25"/>
        <v>926</v>
      </c>
      <c r="AG67" s="30">
        <f t="shared" si="26"/>
        <v>108</v>
      </c>
      <c r="AH67" s="33">
        <f t="shared" si="27"/>
        <v>1.1320293398533008</v>
      </c>
      <c r="AI67" s="36"/>
    </row>
    <row r="68" spans="1:35" ht="19.5" customHeight="1">
      <c r="A68" s="58" t="s">
        <v>125</v>
      </c>
      <c r="B68" s="59" t="s">
        <v>126</v>
      </c>
      <c r="C68" s="28" t="s">
        <v>0</v>
      </c>
      <c r="D68" s="30">
        <v>76</v>
      </c>
      <c r="E68" s="30">
        <v>77</v>
      </c>
      <c r="F68" s="40">
        <f t="shared" si="14"/>
        <v>1</v>
      </c>
      <c r="G68" s="39">
        <f>E68/D68*100-0.5</f>
        <v>100.8157894736842</v>
      </c>
      <c r="H68" s="39"/>
      <c r="I68" s="42"/>
      <c r="J68" s="58" t="s">
        <v>125</v>
      </c>
      <c r="K68" s="59" t="s">
        <v>126</v>
      </c>
      <c r="L68" s="28" t="s">
        <v>0</v>
      </c>
      <c r="M68" s="30">
        <v>35</v>
      </c>
      <c r="N68" s="30">
        <v>36</v>
      </c>
      <c r="O68" s="40">
        <f t="shared" si="16"/>
        <v>1</v>
      </c>
      <c r="P68" s="39">
        <f>N68/M68*100</f>
        <v>102.85714285714285</v>
      </c>
      <c r="Q68" s="39"/>
      <c r="R68" s="42"/>
      <c r="S68" s="58" t="s">
        <v>125</v>
      </c>
      <c r="T68" s="59" t="s">
        <v>126</v>
      </c>
      <c r="U68" s="28" t="s">
        <v>0</v>
      </c>
      <c r="V68" s="30">
        <v>111</v>
      </c>
      <c r="W68" s="30">
        <v>114</v>
      </c>
      <c r="X68" s="40">
        <f t="shared" si="18"/>
        <v>3</v>
      </c>
      <c r="Y68" s="39">
        <f>W68/V68*100+0.5</f>
        <v>103.2027027027027</v>
      </c>
      <c r="Z68" s="39"/>
      <c r="AA68" s="42"/>
      <c r="AB68" s="58" t="s">
        <v>125</v>
      </c>
      <c r="AC68" s="59" t="s">
        <v>126</v>
      </c>
      <c r="AD68" s="28" t="s">
        <v>0</v>
      </c>
      <c r="AE68" s="32">
        <f t="shared" si="24"/>
        <v>222</v>
      </c>
      <c r="AF68" s="30">
        <f t="shared" si="25"/>
        <v>227</v>
      </c>
      <c r="AG68" s="30">
        <f t="shared" si="26"/>
        <v>5</v>
      </c>
      <c r="AH68" s="33">
        <f t="shared" si="27"/>
        <v>1.0225225225225225</v>
      </c>
      <c r="AI68" s="36"/>
    </row>
    <row r="69" spans="1:35" ht="16.5" customHeight="1">
      <c r="A69" s="58" t="s">
        <v>127</v>
      </c>
      <c r="B69" s="59" t="s">
        <v>128</v>
      </c>
      <c r="C69" s="28" t="s">
        <v>0</v>
      </c>
      <c r="D69" s="30">
        <v>66</v>
      </c>
      <c r="E69" s="75">
        <v>100</v>
      </c>
      <c r="F69" s="40">
        <f t="shared" si="14"/>
        <v>34</v>
      </c>
      <c r="G69" s="39">
        <f>E69/D69*100</f>
        <v>151.5151515151515</v>
      </c>
      <c r="H69" s="39"/>
      <c r="I69" s="42"/>
      <c r="J69" s="58" t="s">
        <v>127</v>
      </c>
      <c r="K69" s="59" t="s">
        <v>128</v>
      </c>
      <c r="L69" s="28" t="s">
        <v>0</v>
      </c>
      <c r="M69" s="30">
        <v>31</v>
      </c>
      <c r="N69" s="75">
        <v>47</v>
      </c>
      <c r="O69" s="40">
        <f t="shared" si="16"/>
        <v>16</v>
      </c>
      <c r="P69" s="39">
        <f>N69/M69*100</f>
        <v>151.61290322580646</v>
      </c>
      <c r="Q69" s="39">
        <f>M69*0.95-N69</f>
        <v>-17.55</v>
      </c>
      <c r="R69" s="42"/>
      <c r="S69" s="58" t="s">
        <v>127</v>
      </c>
      <c r="T69" s="59" t="s">
        <v>128</v>
      </c>
      <c r="U69" s="28" t="s">
        <v>0</v>
      </c>
      <c r="V69" s="30">
        <v>97</v>
      </c>
      <c r="W69" s="75">
        <v>148</v>
      </c>
      <c r="X69" s="40">
        <f t="shared" si="18"/>
        <v>51</v>
      </c>
      <c r="Y69" s="39">
        <f>W69/V69*100</f>
        <v>152.57731958762886</v>
      </c>
      <c r="Z69" s="39">
        <f>V69*0.95-W69</f>
        <v>-55.85000000000001</v>
      </c>
      <c r="AA69" s="42"/>
      <c r="AB69" s="58" t="s">
        <v>127</v>
      </c>
      <c r="AC69" s="59" t="s">
        <v>128</v>
      </c>
      <c r="AD69" s="28" t="s">
        <v>0</v>
      </c>
      <c r="AE69" s="30">
        <f t="shared" si="24"/>
        <v>194</v>
      </c>
      <c r="AF69" s="30">
        <f t="shared" si="25"/>
        <v>295</v>
      </c>
      <c r="AG69" s="30">
        <f t="shared" si="26"/>
        <v>101</v>
      </c>
      <c r="AH69" s="33">
        <f t="shared" si="27"/>
        <v>1.5206185567010309</v>
      </c>
      <c r="AI69" s="36"/>
    </row>
    <row r="70" spans="1:35" ht="22.5">
      <c r="A70" s="61" t="s">
        <v>58</v>
      </c>
      <c r="B70" s="62" t="s">
        <v>11</v>
      </c>
      <c r="C70" s="28" t="s">
        <v>0</v>
      </c>
      <c r="D70" s="76">
        <f>D72+D75+D76+D77+D78+D79+1</f>
        <v>27328</v>
      </c>
      <c r="E70" s="76">
        <f>E72+E75+E76+E77+E78+E79</f>
        <v>27084</v>
      </c>
      <c r="F70" s="40">
        <f t="shared" si="14"/>
        <v>-244</v>
      </c>
      <c r="G70" s="39">
        <f t="shared" si="15"/>
        <v>99.10714285714286</v>
      </c>
      <c r="H70" s="39"/>
      <c r="I70" s="36"/>
      <c r="J70" s="61" t="s">
        <v>58</v>
      </c>
      <c r="K70" s="62" t="s">
        <v>11</v>
      </c>
      <c r="L70" s="28" t="s">
        <v>0</v>
      </c>
      <c r="M70" s="76">
        <f>M72+M75+M76+M77+M78+M79</f>
        <v>4959</v>
      </c>
      <c r="N70" s="76">
        <f>N72+N75+N76+N77+N78+N79</f>
        <v>4908</v>
      </c>
      <c r="O70" s="40">
        <f t="shared" si="16"/>
        <v>-51</v>
      </c>
      <c r="P70" s="39">
        <f>N70/M70*100</f>
        <v>98.97156684815486</v>
      </c>
      <c r="Q70" s="39"/>
      <c r="R70" s="93"/>
      <c r="S70" s="61" t="s">
        <v>58</v>
      </c>
      <c r="T70" s="62" t="s">
        <v>11</v>
      </c>
      <c r="U70" s="28" t="s">
        <v>0</v>
      </c>
      <c r="V70" s="76">
        <f>V72+V75+V76+V77+V78+V79</f>
        <v>13879</v>
      </c>
      <c r="W70" s="76">
        <f>W72+W75+W76+W77+W78+W79</f>
        <v>13742</v>
      </c>
      <c r="X70" s="40">
        <f t="shared" si="18"/>
        <v>-137</v>
      </c>
      <c r="Y70" s="39">
        <f t="shared" si="19"/>
        <v>99.01289718279415</v>
      </c>
      <c r="Z70" s="39"/>
      <c r="AA70" s="42"/>
      <c r="AB70" s="61" t="s">
        <v>58</v>
      </c>
      <c r="AC70" s="62" t="s">
        <v>11</v>
      </c>
      <c r="AD70" s="28" t="s">
        <v>0</v>
      </c>
      <c r="AE70" s="78">
        <f t="shared" si="24"/>
        <v>46166</v>
      </c>
      <c r="AF70" s="78">
        <f t="shared" si="25"/>
        <v>45734</v>
      </c>
      <c r="AG70" s="30">
        <f t="shared" si="26"/>
        <v>-432</v>
      </c>
      <c r="AH70" s="33">
        <f t="shared" si="27"/>
        <v>0.9906424641511069</v>
      </c>
      <c r="AI70" s="53"/>
    </row>
    <row r="71" spans="1:35" ht="11.25">
      <c r="A71" s="58"/>
      <c r="B71" s="59" t="s">
        <v>3</v>
      </c>
      <c r="C71" s="28" t="s">
        <v>0</v>
      </c>
      <c r="D71" s="65"/>
      <c r="E71" s="48"/>
      <c r="F71" s="40"/>
      <c r="G71" s="39"/>
      <c r="H71" s="39"/>
      <c r="I71" s="36"/>
      <c r="J71" s="58"/>
      <c r="K71" s="59" t="s">
        <v>3</v>
      </c>
      <c r="L71" s="28" t="s">
        <v>0</v>
      </c>
      <c r="M71" s="65"/>
      <c r="N71" s="48"/>
      <c r="O71" s="40"/>
      <c r="P71" s="39"/>
      <c r="Q71" s="39"/>
      <c r="R71" s="93"/>
      <c r="S71" s="58"/>
      <c r="T71" s="59" t="s">
        <v>3</v>
      </c>
      <c r="U71" s="28" t="s">
        <v>0</v>
      </c>
      <c r="V71" s="65"/>
      <c r="W71" s="48"/>
      <c r="X71" s="40"/>
      <c r="Y71" s="39"/>
      <c r="Z71" s="39"/>
      <c r="AA71" s="93"/>
      <c r="AB71" s="58"/>
      <c r="AC71" s="59" t="s">
        <v>3</v>
      </c>
      <c r="AD71" s="28" t="s">
        <v>0</v>
      </c>
      <c r="AE71" s="30"/>
      <c r="AF71" s="30"/>
      <c r="AG71" s="30"/>
      <c r="AH71" s="33"/>
      <c r="AI71" s="53"/>
    </row>
    <row r="72" spans="1:35" ht="22.5">
      <c r="A72" s="58" t="s">
        <v>33</v>
      </c>
      <c r="B72" s="59" t="s">
        <v>200</v>
      </c>
      <c r="C72" s="28" t="s">
        <v>0</v>
      </c>
      <c r="D72" s="30">
        <v>18093</v>
      </c>
      <c r="E72" s="75">
        <v>18108</v>
      </c>
      <c r="F72" s="40">
        <f t="shared" si="14"/>
        <v>15</v>
      </c>
      <c r="G72" s="39">
        <f t="shared" si="15"/>
        <v>100.08290499088046</v>
      </c>
      <c r="H72" s="39"/>
      <c r="I72" s="95"/>
      <c r="J72" s="58" t="s">
        <v>33</v>
      </c>
      <c r="K72" s="59" t="s">
        <v>200</v>
      </c>
      <c r="L72" s="28" t="s">
        <v>0</v>
      </c>
      <c r="M72" s="30">
        <v>3340</v>
      </c>
      <c r="N72" s="75">
        <v>3343</v>
      </c>
      <c r="O72" s="40">
        <f t="shared" si="16"/>
        <v>3</v>
      </c>
      <c r="P72" s="39">
        <f t="shared" si="17"/>
        <v>100.08982035928145</v>
      </c>
      <c r="Q72" s="39"/>
      <c r="R72" s="42"/>
      <c r="S72" s="58" t="s">
        <v>33</v>
      </c>
      <c r="T72" s="59" t="s">
        <v>200</v>
      </c>
      <c r="U72" s="28" t="s">
        <v>0</v>
      </c>
      <c r="V72" s="30">
        <v>8937</v>
      </c>
      <c r="W72" s="75">
        <v>8951</v>
      </c>
      <c r="X72" s="40">
        <f t="shared" si="18"/>
        <v>14</v>
      </c>
      <c r="Y72" s="39">
        <f t="shared" si="19"/>
        <v>100.15665212039835</v>
      </c>
      <c r="Z72" s="39"/>
      <c r="AA72" s="42"/>
      <c r="AB72" s="58" t="s">
        <v>33</v>
      </c>
      <c r="AC72" s="59" t="s">
        <v>200</v>
      </c>
      <c r="AD72" s="28" t="s">
        <v>0</v>
      </c>
      <c r="AE72" s="30">
        <f aca="true" t="shared" si="28" ref="AE72:AF78">D72+M72+V72</f>
        <v>30370</v>
      </c>
      <c r="AF72" s="30">
        <f t="shared" si="28"/>
        <v>30402</v>
      </c>
      <c r="AG72" s="30">
        <f t="shared" si="26"/>
        <v>32</v>
      </c>
      <c r="AH72" s="33">
        <f t="shared" si="27"/>
        <v>1.0010536713862364</v>
      </c>
      <c r="AI72" s="53"/>
    </row>
    <row r="73" spans="1:35" ht="11.25">
      <c r="A73" s="58"/>
      <c r="B73" s="59" t="s">
        <v>201</v>
      </c>
      <c r="C73" s="28" t="s">
        <v>164</v>
      </c>
      <c r="D73" s="30">
        <v>34</v>
      </c>
      <c r="E73" s="75">
        <v>34</v>
      </c>
      <c r="F73" s="40">
        <f>E73-D73</f>
        <v>0</v>
      </c>
      <c r="G73" s="39">
        <f>E73/D73*100</f>
        <v>100</v>
      </c>
      <c r="H73" s="39"/>
      <c r="I73" s="95"/>
      <c r="J73" s="58"/>
      <c r="K73" s="59" t="s">
        <v>201</v>
      </c>
      <c r="L73" s="28" t="s">
        <v>164</v>
      </c>
      <c r="M73" s="30">
        <v>7</v>
      </c>
      <c r="N73" s="75">
        <v>7</v>
      </c>
      <c r="O73" s="40">
        <f t="shared" si="16"/>
        <v>0</v>
      </c>
      <c r="P73" s="39">
        <f t="shared" si="17"/>
        <v>100</v>
      </c>
      <c r="Q73" s="39"/>
      <c r="R73" s="42"/>
      <c r="S73" s="58"/>
      <c r="T73" s="59" t="s">
        <v>201</v>
      </c>
      <c r="U73" s="28" t="s">
        <v>164</v>
      </c>
      <c r="V73" s="30">
        <v>22</v>
      </c>
      <c r="W73" s="75">
        <v>22</v>
      </c>
      <c r="X73" s="40">
        <f>W73-V73</f>
        <v>0</v>
      </c>
      <c r="Y73" s="39">
        <f>W73/V73*100</f>
        <v>100</v>
      </c>
      <c r="Z73" s="39"/>
      <c r="AA73" s="42"/>
      <c r="AB73" s="58"/>
      <c r="AC73" s="59" t="s">
        <v>201</v>
      </c>
      <c r="AD73" s="28" t="s">
        <v>164</v>
      </c>
      <c r="AE73" s="30">
        <f>D73+M73+V73</f>
        <v>63</v>
      </c>
      <c r="AF73" s="30">
        <f>E73+N73+W73</f>
        <v>63</v>
      </c>
      <c r="AG73" s="30">
        <f t="shared" si="26"/>
        <v>0</v>
      </c>
      <c r="AH73" s="33">
        <f t="shared" si="27"/>
        <v>1</v>
      </c>
      <c r="AI73" s="53"/>
    </row>
    <row r="74" spans="1:35" ht="11.25">
      <c r="A74" s="58"/>
      <c r="B74" s="59" t="s">
        <v>193</v>
      </c>
      <c r="C74" s="28" t="s">
        <v>61</v>
      </c>
      <c r="D74" s="30">
        <f>D72/D73/12*1000-1</f>
        <v>44344.58823529412</v>
      </c>
      <c r="E74" s="30">
        <f>E72/E73/12*1000</f>
        <v>44382.35294117647</v>
      </c>
      <c r="F74" s="40">
        <f>E74-D74</f>
        <v>37.76470588234952</v>
      </c>
      <c r="G74" s="39">
        <f>E74/D74*100</f>
        <v>100.08516192704727</v>
      </c>
      <c r="H74" s="39"/>
      <c r="I74" s="95"/>
      <c r="J74" s="58"/>
      <c r="K74" s="59" t="s">
        <v>193</v>
      </c>
      <c r="L74" s="28" t="s">
        <v>61</v>
      </c>
      <c r="M74" s="30">
        <f>M72/M73/12*1000+6</f>
        <v>39767.90476190476</v>
      </c>
      <c r="N74" s="30">
        <f>N72/N73/12*1000</f>
        <v>39797.619047619046</v>
      </c>
      <c r="O74" s="40">
        <f>N74-M74</f>
        <v>29.714285714282596</v>
      </c>
      <c r="P74" s="39">
        <f>N74/M74*100</f>
        <v>100.07471926391945</v>
      </c>
      <c r="Q74" s="39"/>
      <c r="R74" s="42"/>
      <c r="S74" s="58"/>
      <c r="T74" s="59" t="s">
        <v>193</v>
      </c>
      <c r="U74" s="28" t="s">
        <v>61</v>
      </c>
      <c r="V74" s="30">
        <f>V72/V73/12*1000</f>
        <v>33852.27272727273</v>
      </c>
      <c r="W74" s="30">
        <f>W72/W73/12*1000</f>
        <v>33905.30303030303</v>
      </c>
      <c r="X74" s="40">
        <f>W74-V74</f>
        <v>53.03030303030391</v>
      </c>
      <c r="Y74" s="39">
        <f>W74/V74*100</f>
        <v>100.15665212039835</v>
      </c>
      <c r="Z74" s="39"/>
      <c r="AA74" s="42"/>
      <c r="AB74" s="58"/>
      <c r="AC74" s="59" t="s">
        <v>193</v>
      </c>
      <c r="AD74" s="28" t="s">
        <v>61</v>
      </c>
      <c r="AE74" s="30">
        <f>AE72/AE73/12*1000</f>
        <v>40171.95767195767</v>
      </c>
      <c r="AF74" s="30">
        <f>AF72/AF73/12*1000</f>
        <v>40214.28571428572</v>
      </c>
      <c r="AG74" s="30">
        <f>AF74-AE74</f>
        <v>42.32804232804483</v>
      </c>
      <c r="AH74" s="33">
        <f>AF74/AE74</f>
        <v>1.0010536713862366</v>
      </c>
      <c r="AI74" s="53"/>
    </row>
    <row r="75" spans="1:35" ht="14.25" customHeight="1">
      <c r="A75" s="58" t="s">
        <v>34</v>
      </c>
      <c r="B75" s="59" t="s">
        <v>54</v>
      </c>
      <c r="C75" s="28" t="s">
        <v>0</v>
      </c>
      <c r="D75" s="30">
        <v>1791</v>
      </c>
      <c r="E75" s="75">
        <v>1873</v>
      </c>
      <c r="F75" s="40">
        <f t="shared" si="14"/>
        <v>82</v>
      </c>
      <c r="G75" s="39">
        <f t="shared" si="15"/>
        <v>104.5784477945282</v>
      </c>
      <c r="H75" s="39"/>
      <c r="I75" s="95"/>
      <c r="J75" s="58" t="s">
        <v>34</v>
      </c>
      <c r="K75" s="59" t="s">
        <v>54</v>
      </c>
      <c r="L75" s="28" t="s">
        <v>0</v>
      </c>
      <c r="M75" s="30">
        <v>331</v>
      </c>
      <c r="N75" s="75">
        <v>347</v>
      </c>
      <c r="O75" s="40">
        <f t="shared" si="16"/>
        <v>16</v>
      </c>
      <c r="P75" s="39">
        <f>N75/M75*100</f>
        <v>104.83383685800605</v>
      </c>
      <c r="Q75" s="39"/>
      <c r="R75" s="42"/>
      <c r="S75" s="58" t="s">
        <v>34</v>
      </c>
      <c r="T75" s="59" t="s">
        <v>54</v>
      </c>
      <c r="U75" s="28" t="s">
        <v>0</v>
      </c>
      <c r="V75" s="30">
        <v>885</v>
      </c>
      <c r="W75" s="75">
        <v>917</v>
      </c>
      <c r="X75" s="40">
        <f t="shared" si="18"/>
        <v>32</v>
      </c>
      <c r="Y75" s="39">
        <f t="shared" si="19"/>
        <v>103.61581920903956</v>
      </c>
      <c r="Z75" s="39"/>
      <c r="AA75" s="42"/>
      <c r="AB75" s="58" t="s">
        <v>34</v>
      </c>
      <c r="AC75" s="59" t="s">
        <v>54</v>
      </c>
      <c r="AD75" s="28" t="s">
        <v>0</v>
      </c>
      <c r="AE75" s="30">
        <f t="shared" si="28"/>
        <v>3007</v>
      </c>
      <c r="AF75" s="30">
        <f t="shared" si="28"/>
        <v>3137</v>
      </c>
      <c r="AG75" s="30">
        <f t="shared" si="26"/>
        <v>130</v>
      </c>
      <c r="AH75" s="33">
        <f t="shared" si="27"/>
        <v>1.0432324575989358</v>
      </c>
      <c r="AI75" s="53"/>
    </row>
    <row r="76" spans="1:35" ht="14.25" customHeight="1">
      <c r="A76" s="58" t="s">
        <v>35</v>
      </c>
      <c r="B76" s="59" t="s">
        <v>50</v>
      </c>
      <c r="C76" s="28" t="s">
        <v>0</v>
      </c>
      <c r="D76" s="30">
        <v>723</v>
      </c>
      <c r="E76" s="75">
        <v>815</v>
      </c>
      <c r="F76" s="40">
        <f t="shared" si="14"/>
        <v>92</v>
      </c>
      <c r="G76" s="39">
        <f t="shared" si="15"/>
        <v>112.72475795297372</v>
      </c>
      <c r="H76" s="39"/>
      <c r="I76" s="42" t="s">
        <v>206</v>
      </c>
      <c r="J76" s="58" t="s">
        <v>35</v>
      </c>
      <c r="K76" s="59" t="s">
        <v>50</v>
      </c>
      <c r="L76" s="28" t="s">
        <v>0</v>
      </c>
      <c r="M76" s="30">
        <v>125</v>
      </c>
      <c r="N76" s="75">
        <v>140</v>
      </c>
      <c r="O76" s="40">
        <f t="shared" si="16"/>
        <v>15</v>
      </c>
      <c r="P76" s="39">
        <f>N76/M76*100</f>
        <v>112.00000000000001</v>
      </c>
      <c r="Q76" s="39"/>
      <c r="R76" s="42" t="s">
        <v>206</v>
      </c>
      <c r="S76" s="58" t="s">
        <v>35</v>
      </c>
      <c r="T76" s="59" t="s">
        <v>50</v>
      </c>
      <c r="U76" s="28" t="s">
        <v>0</v>
      </c>
      <c r="V76" s="30">
        <v>399</v>
      </c>
      <c r="W76" s="75">
        <v>450</v>
      </c>
      <c r="X76" s="40">
        <f t="shared" si="18"/>
        <v>51</v>
      </c>
      <c r="Y76" s="39">
        <f>W76/V76*100</f>
        <v>112.78195488721805</v>
      </c>
      <c r="Z76" s="39"/>
      <c r="AA76" s="42" t="s">
        <v>206</v>
      </c>
      <c r="AB76" s="58" t="s">
        <v>35</v>
      </c>
      <c r="AC76" s="59" t="s">
        <v>50</v>
      </c>
      <c r="AD76" s="28" t="s">
        <v>0</v>
      </c>
      <c r="AE76" s="32">
        <f t="shared" si="28"/>
        <v>1247</v>
      </c>
      <c r="AF76" s="30">
        <f t="shared" si="28"/>
        <v>1405</v>
      </c>
      <c r="AG76" s="30">
        <f t="shared" si="26"/>
        <v>158</v>
      </c>
      <c r="AH76" s="33">
        <f t="shared" si="27"/>
        <v>1.1267040898155574</v>
      </c>
      <c r="AI76" s="53"/>
    </row>
    <row r="77" spans="1:35" ht="21.75" customHeight="1">
      <c r="A77" s="58" t="s">
        <v>36</v>
      </c>
      <c r="B77" s="59" t="s">
        <v>7</v>
      </c>
      <c r="C77" s="28" t="s">
        <v>0</v>
      </c>
      <c r="D77" s="30">
        <v>1300</v>
      </c>
      <c r="E77" s="75">
        <v>1162</v>
      </c>
      <c r="F77" s="40">
        <f t="shared" si="14"/>
        <v>-138</v>
      </c>
      <c r="G77" s="39">
        <f t="shared" si="15"/>
        <v>89.38461538461539</v>
      </c>
      <c r="H77" s="39">
        <f>D77*0.95-E77</f>
        <v>73</v>
      </c>
      <c r="I77" s="105"/>
      <c r="J77" s="58" t="s">
        <v>36</v>
      </c>
      <c r="K77" s="59" t="s">
        <v>7</v>
      </c>
      <c r="L77" s="28" t="s">
        <v>0</v>
      </c>
      <c r="M77" s="30">
        <v>224</v>
      </c>
      <c r="N77" s="75">
        <v>198</v>
      </c>
      <c r="O77" s="40">
        <f t="shared" si="16"/>
        <v>-26</v>
      </c>
      <c r="P77" s="39">
        <f t="shared" si="17"/>
        <v>88.39285714285714</v>
      </c>
      <c r="Q77" s="39">
        <f>M77*0.95-N77</f>
        <v>14.799999999999983</v>
      </c>
      <c r="R77" s="105"/>
      <c r="S77" s="58" t="s">
        <v>36</v>
      </c>
      <c r="T77" s="59" t="s">
        <v>7</v>
      </c>
      <c r="U77" s="28" t="s">
        <v>0</v>
      </c>
      <c r="V77" s="30">
        <v>717</v>
      </c>
      <c r="W77" s="75">
        <v>653</v>
      </c>
      <c r="X77" s="40">
        <f t="shared" si="18"/>
        <v>-64</v>
      </c>
      <c r="Y77" s="39">
        <f t="shared" si="19"/>
        <v>91.07391910739192</v>
      </c>
      <c r="Z77" s="39">
        <f>V77*0.95-W77</f>
        <v>28.149999999999977</v>
      </c>
      <c r="AA77" s="105"/>
      <c r="AB77" s="58" t="s">
        <v>36</v>
      </c>
      <c r="AC77" s="59" t="s">
        <v>7</v>
      </c>
      <c r="AD77" s="28" t="s">
        <v>0</v>
      </c>
      <c r="AE77" s="32">
        <f t="shared" si="28"/>
        <v>2241</v>
      </c>
      <c r="AF77" s="30">
        <f t="shared" si="28"/>
        <v>2013</v>
      </c>
      <c r="AG77" s="30">
        <f t="shared" si="26"/>
        <v>-228</v>
      </c>
      <c r="AH77" s="33">
        <f t="shared" si="27"/>
        <v>0.8982597054886211</v>
      </c>
      <c r="AI77" s="53"/>
    </row>
    <row r="78" spans="1:35" ht="23.25" customHeight="1">
      <c r="A78" s="58" t="s">
        <v>37</v>
      </c>
      <c r="B78" s="59" t="s">
        <v>129</v>
      </c>
      <c r="C78" s="28" t="s">
        <v>0</v>
      </c>
      <c r="D78" s="30">
        <v>1612</v>
      </c>
      <c r="E78" s="75">
        <v>1573</v>
      </c>
      <c r="F78" s="40">
        <f t="shared" si="14"/>
        <v>-39</v>
      </c>
      <c r="G78" s="39">
        <f t="shared" si="15"/>
        <v>97.58064516129032</v>
      </c>
      <c r="H78" s="39"/>
      <c r="I78" s="42"/>
      <c r="J78" s="58" t="s">
        <v>37</v>
      </c>
      <c r="K78" s="59" t="s">
        <v>129</v>
      </c>
      <c r="L78" s="28" t="s">
        <v>0</v>
      </c>
      <c r="M78" s="30">
        <v>278</v>
      </c>
      <c r="N78" s="75">
        <v>272</v>
      </c>
      <c r="O78" s="40">
        <f t="shared" si="16"/>
        <v>-6</v>
      </c>
      <c r="P78" s="39">
        <f t="shared" si="17"/>
        <v>97.84172661870504</v>
      </c>
      <c r="Q78" s="39"/>
      <c r="R78" s="42"/>
      <c r="S78" s="58" t="s">
        <v>37</v>
      </c>
      <c r="T78" s="59" t="s">
        <v>129</v>
      </c>
      <c r="U78" s="28" t="s">
        <v>0</v>
      </c>
      <c r="V78" s="30">
        <v>889</v>
      </c>
      <c r="W78" s="75">
        <v>867</v>
      </c>
      <c r="X78" s="40">
        <f t="shared" si="18"/>
        <v>-22</v>
      </c>
      <c r="Y78" s="39">
        <f t="shared" si="19"/>
        <v>97.52530933633295</v>
      </c>
      <c r="Z78" s="39"/>
      <c r="AA78" s="42"/>
      <c r="AB78" s="58" t="s">
        <v>37</v>
      </c>
      <c r="AC78" s="59" t="s">
        <v>129</v>
      </c>
      <c r="AD78" s="28" t="s">
        <v>0</v>
      </c>
      <c r="AE78" s="32">
        <f t="shared" si="28"/>
        <v>2779</v>
      </c>
      <c r="AF78" s="30">
        <f t="shared" si="28"/>
        <v>2712</v>
      </c>
      <c r="AG78" s="30">
        <f t="shared" si="26"/>
        <v>-67</v>
      </c>
      <c r="AH78" s="33">
        <f t="shared" si="27"/>
        <v>0.9758906081324218</v>
      </c>
      <c r="AI78" s="53"/>
    </row>
    <row r="79" spans="1:35" ht="11.25">
      <c r="A79" s="58" t="s">
        <v>38</v>
      </c>
      <c r="B79" s="59" t="s">
        <v>104</v>
      </c>
      <c r="C79" s="28" t="s">
        <v>0</v>
      </c>
      <c r="D79" s="40">
        <f>SUM(D80:D87)</f>
        <v>3808</v>
      </c>
      <c r="E79" s="40">
        <f>SUM(E80:E87)</f>
        <v>3553</v>
      </c>
      <c r="F79" s="40">
        <f t="shared" si="14"/>
        <v>-255</v>
      </c>
      <c r="G79" s="39">
        <f t="shared" si="15"/>
        <v>93.30357142857143</v>
      </c>
      <c r="H79" s="39"/>
      <c r="I79" s="42"/>
      <c r="J79" s="58" t="s">
        <v>38</v>
      </c>
      <c r="K79" s="59" t="s">
        <v>104</v>
      </c>
      <c r="L79" s="28" t="s">
        <v>0</v>
      </c>
      <c r="M79" s="40">
        <f>SUM(M80:M87)-1</f>
        <v>661</v>
      </c>
      <c r="N79" s="40">
        <f>SUM(N80:N87)</f>
        <v>608</v>
      </c>
      <c r="O79" s="40">
        <f t="shared" si="16"/>
        <v>-53</v>
      </c>
      <c r="P79" s="39">
        <f t="shared" si="17"/>
        <v>91.98184568835099</v>
      </c>
      <c r="Q79" s="39"/>
      <c r="R79" s="42"/>
      <c r="S79" s="58" t="s">
        <v>38</v>
      </c>
      <c r="T79" s="59" t="s">
        <v>104</v>
      </c>
      <c r="U79" s="28" t="s">
        <v>0</v>
      </c>
      <c r="V79" s="39">
        <f>SUM(V80:V87)</f>
        <v>2052</v>
      </c>
      <c r="W79" s="39">
        <f>SUM(W80:W87)</f>
        <v>1904</v>
      </c>
      <c r="X79" s="40">
        <f t="shared" si="18"/>
        <v>-148</v>
      </c>
      <c r="Y79" s="39">
        <f t="shared" si="19"/>
        <v>92.78752436647173</v>
      </c>
      <c r="Z79" s="39"/>
      <c r="AA79" s="42"/>
      <c r="AB79" s="58" t="s">
        <v>38</v>
      </c>
      <c r="AC79" s="59" t="s">
        <v>104</v>
      </c>
      <c r="AD79" s="28" t="s">
        <v>0</v>
      </c>
      <c r="AE79" s="40">
        <f>SUM(AE80:AE87)-0.6</f>
        <v>6521.4</v>
      </c>
      <c r="AF79" s="39">
        <f>SUM(AF80:AF87)</f>
        <v>6065</v>
      </c>
      <c r="AG79" s="30">
        <f t="shared" si="26"/>
        <v>-456.39999999999964</v>
      </c>
      <c r="AH79" s="33">
        <f t="shared" si="27"/>
        <v>0.9300150274480941</v>
      </c>
      <c r="AI79" s="53"/>
    </row>
    <row r="80" spans="1:35" ht="17.25" customHeight="1">
      <c r="A80" s="58" t="s">
        <v>130</v>
      </c>
      <c r="B80" s="59" t="s">
        <v>131</v>
      </c>
      <c r="C80" s="28" t="s">
        <v>0</v>
      </c>
      <c r="D80" s="30">
        <v>544</v>
      </c>
      <c r="E80" s="75">
        <v>574</v>
      </c>
      <c r="F80" s="40">
        <f t="shared" si="14"/>
        <v>30</v>
      </c>
      <c r="G80" s="39">
        <f t="shared" si="15"/>
        <v>105.51470588235294</v>
      </c>
      <c r="H80" s="39"/>
      <c r="I80" s="42"/>
      <c r="J80" s="58" t="s">
        <v>130</v>
      </c>
      <c r="K80" s="59" t="s">
        <v>131</v>
      </c>
      <c r="L80" s="28" t="s">
        <v>0</v>
      </c>
      <c r="M80" s="30">
        <v>94</v>
      </c>
      <c r="N80" s="75">
        <v>99</v>
      </c>
      <c r="O80" s="40">
        <f t="shared" si="16"/>
        <v>5</v>
      </c>
      <c r="P80" s="39">
        <f t="shared" si="17"/>
        <v>105.31914893617021</v>
      </c>
      <c r="Q80" s="39"/>
      <c r="R80" s="42"/>
      <c r="S80" s="58" t="s">
        <v>130</v>
      </c>
      <c r="T80" s="59" t="s">
        <v>131</v>
      </c>
      <c r="U80" s="28" t="s">
        <v>0</v>
      </c>
      <c r="V80" s="30">
        <v>300</v>
      </c>
      <c r="W80" s="75">
        <v>316</v>
      </c>
      <c r="X80" s="40">
        <f t="shared" si="18"/>
        <v>16</v>
      </c>
      <c r="Y80" s="39">
        <f t="shared" si="19"/>
        <v>105.33333333333333</v>
      </c>
      <c r="Z80" s="39"/>
      <c r="AA80" s="42"/>
      <c r="AB80" s="58" t="s">
        <v>130</v>
      </c>
      <c r="AC80" s="59" t="s">
        <v>131</v>
      </c>
      <c r="AD80" s="28" t="s">
        <v>0</v>
      </c>
      <c r="AE80" s="32">
        <f aca="true" t="shared" si="29" ref="AE80:AF87">D80+M80+V80</f>
        <v>938</v>
      </c>
      <c r="AF80" s="30">
        <f t="shared" si="29"/>
        <v>989</v>
      </c>
      <c r="AG80" s="30">
        <f t="shared" si="26"/>
        <v>51</v>
      </c>
      <c r="AH80" s="33">
        <f t="shared" si="27"/>
        <v>1.0543710021321961</v>
      </c>
      <c r="AI80" s="53"/>
    </row>
    <row r="81" spans="1:35" ht="42">
      <c r="A81" s="58" t="s">
        <v>132</v>
      </c>
      <c r="B81" s="59" t="s">
        <v>108</v>
      </c>
      <c r="C81" s="28" t="s">
        <v>0</v>
      </c>
      <c r="D81" s="30">
        <v>1010</v>
      </c>
      <c r="E81" s="75">
        <v>732</v>
      </c>
      <c r="F81" s="40">
        <f t="shared" si="14"/>
        <v>-278</v>
      </c>
      <c r="G81" s="39">
        <f>E81/D81*100</f>
        <v>72.47524752475248</v>
      </c>
      <c r="H81" s="39"/>
      <c r="I81" s="42" t="s">
        <v>207</v>
      </c>
      <c r="J81" s="58" t="s">
        <v>132</v>
      </c>
      <c r="K81" s="59" t="s">
        <v>108</v>
      </c>
      <c r="L81" s="28" t="s">
        <v>0</v>
      </c>
      <c r="M81" s="30">
        <v>174</v>
      </c>
      <c r="N81" s="75">
        <v>116</v>
      </c>
      <c r="O81" s="40">
        <f t="shared" si="16"/>
        <v>-58</v>
      </c>
      <c r="P81" s="39">
        <f aca="true" t="shared" si="30" ref="P81:P87">N81/M81*100</f>
        <v>66.66666666666666</v>
      </c>
      <c r="Q81" s="39"/>
      <c r="R81" s="42" t="s">
        <v>207</v>
      </c>
      <c r="S81" s="58" t="s">
        <v>132</v>
      </c>
      <c r="T81" s="59" t="s">
        <v>108</v>
      </c>
      <c r="U81" s="28" t="s">
        <v>0</v>
      </c>
      <c r="V81" s="30">
        <v>557</v>
      </c>
      <c r="W81" s="75">
        <v>395</v>
      </c>
      <c r="X81" s="40">
        <f t="shared" si="18"/>
        <v>-162</v>
      </c>
      <c r="Y81" s="39">
        <f t="shared" si="19"/>
        <v>70.91561938958706</v>
      </c>
      <c r="Z81" s="39"/>
      <c r="AA81" s="42" t="s">
        <v>207</v>
      </c>
      <c r="AB81" s="58" t="s">
        <v>132</v>
      </c>
      <c r="AC81" s="59" t="s">
        <v>108</v>
      </c>
      <c r="AD81" s="28" t="s">
        <v>0</v>
      </c>
      <c r="AE81" s="32">
        <f t="shared" si="29"/>
        <v>1741</v>
      </c>
      <c r="AF81" s="30">
        <f t="shared" si="29"/>
        <v>1243</v>
      </c>
      <c r="AG81" s="30">
        <f t="shared" si="26"/>
        <v>-498</v>
      </c>
      <c r="AH81" s="33">
        <f t="shared" si="27"/>
        <v>0.713957495692131</v>
      </c>
      <c r="AI81" s="53"/>
    </row>
    <row r="82" spans="1:35" ht="14.25" customHeight="1">
      <c r="A82" s="58" t="s">
        <v>133</v>
      </c>
      <c r="B82" s="59" t="s">
        <v>112</v>
      </c>
      <c r="C82" s="28" t="s">
        <v>0</v>
      </c>
      <c r="D82" s="30">
        <v>318</v>
      </c>
      <c r="E82" s="75">
        <v>308</v>
      </c>
      <c r="F82" s="40">
        <f t="shared" si="14"/>
        <v>-10</v>
      </c>
      <c r="G82" s="79">
        <f t="shared" si="15"/>
        <v>96.85534591194968</v>
      </c>
      <c r="H82" s="39"/>
      <c r="I82" s="42"/>
      <c r="J82" s="58" t="s">
        <v>133</v>
      </c>
      <c r="K82" s="59" t="s">
        <v>112</v>
      </c>
      <c r="L82" s="28" t="s">
        <v>0</v>
      </c>
      <c r="M82" s="30">
        <v>59</v>
      </c>
      <c r="N82" s="75">
        <v>57</v>
      </c>
      <c r="O82" s="40">
        <f t="shared" si="16"/>
        <v>-2</v>
      </c>
      <c r="P82" s="79">
        <f t="shared" si="30"/>
        <v>96.61016949152543</v>
      </c>
      <c r="Q82" s="79"/>
      <c r="R82" s="42"/>
      <c r="S82" s="58" t="s">
        <v>133</v>
      </c>
      <c r="T82" s="59" t="s">
        <v>112</v>
      </c>
      <c r="U82" s="28" t="s">
        <v>0</v>
      </c>
      <c r="V82" s="30">
        <v>126</v>
      </c>
      <c r="W82" s="75">
        <v>122</v>
      </c>
      <c r="X82" s="40">
        <f t="shared" si="18"/>
        <v>-4</v>
      </c>
      <c r="Y82" s="79">
        <f>W82/V82*100</f>
        <v>96.82539682539682</v>
      </c>
      <c r="Z82" s="79"/>
      <c r="AA82" s="42"/>
      <c r="AB82" s="58" t="s">
        <v>133</v>
      </c>
      <c r="AC82" s="59" t="s">
        <v>112</v>
      </c>
      <c r="AD82" s="28" t="s">
        <v>0</v>
      </c>
      <c r="AE82" s="30">
        <f t="shared" si="29"/>
        <v>503</v>
      </c>
      <c r="AF82" s="30">
        <f t="shared" si="29"/>
        <v>487</v>
      </c>
      <c r="AG82" s="30">
        <f t="shared" si="26"/>
        <v>-16</v>
      </c>
      <c r="AH82" s="33">
        <f t="shared" si="27"/>
        <v>0.9681908548707754</v>
      </c>
      <c r="AI82" s="53"/>
    </row>
    <row r="83" spans="1:35" ht="22.5">
      <c r="A83" s="58" t="s">
        <v>134</v>
      </c>
      <c r="B83" s="59" t="s">
        <v>126</v>
      </c>
      <c r="C83" s="28" t="s">
        <v>0</v>
      </c>
      <c r="D83" s="30">
        <v>97</v>
      </c>
      <c r="E83" s="75">
        <v>94</v>
      </c>
      <c r="F83" s="40">
        <f t="shared" si="14"/>
        <v>-3</v>
      </c>
      <c r="G83" s="39">
        <f>E83/D83*100</f>
        <v>96.90721649484536</v>
      </c>
      <c r="H83" s="39">
        <f>D83*0.95-E83</f>
        <v>-1.8500000000000085</v>
      </c>
      <c r="I83" s="42"/>
      <c r="J83" s="58" t="s">
        <v>134</v>
      </c>
      <c r="K83" s="59" t="s">
        <v>126</v>
      </c>
      <c r="L83" s="28" t="s">
        <v>0</v>
      </c>
      <c r="M83" s="30">
        <v>17</v>
      </c>
      <c r="N83" s="75">
        <v>17</v>
      </c>
      <c r="O83" s="40">
        <f t="shared" si="16"/>
        <v>0</v>
      </c>
      <c r="P83" s="39">
        <f t="shared" si="30"/>
        <v>100</v>
      </c>
      <c r="Q83" s="39"/>
      <c r="R83" s="42"/>
      <c r="S83" s="58" t="s">
        <v>134</v>
      </c>
      <c r="T83" s="59" t="s">
        <v>126</v>
      </c>
      <c r="U83" s="28" t="s">
        <v>0</v>
      </c>
      <c r="V83" s="30">
        <v>54</v>
      </c>
      <c r="W83" s="75">
        <v>52</v>
      </c>
      <c r="X83" s="40">
        <f t="shared" si="18"/>
        <v>-2</v>
      </c>
      <c r="Y83" s="39">
        <f>W83/V83*100</f>
        <v>96.29629629629629</v>
      </c>
      <c r="Z83" s="39">
        <f>V83*0.95-W83</f>
        <v>-0.7000000000000028</v>
      </c>
      <c r="AA83" s="42"/>
      <c r="AB83" s="58" t="s">
        <v>134</v>
      </c>
      <c r="AC83" s="59" t="s">
        <v>126</v>
      </c>
      <c r="AD83" s="28" t="s">
        <v>0</v>
      </c>
      <c r="AE83" s="32">
        <f t="shared" si="29"/>
        <v>168</v>
      </c>
      <c r="AF83" s="30">
        <f t="shared" si="29"/>
        <v>163</v>
      </c>
      <c r="AG83" s="30">
        <f t="shared" si="26"/>
        <v>-5</v>
      </c>
      <c r="AH83" s="33">
        <f t="shared" si="27"/>
        <v>0.9702380952380952</v>
      </c>
      <c r="AI83" s="53"/>
    </row>
    <row r="84" spans="1:35" ht="21">
      <c r="A84" s="58" t="s">
        <v>135</v>
      </c>
      <c r="B84" s="59" t="s">
        <v>136</v>
      </c>
      <c r="C84" s="28" t="s">
        <v>0</v>
      </c>
      <c r="D84" s="30">
        <v>239</v>
      </c>
      <c r="E84" s="75">
        <v>252</v>
      </c>
      <c r="F84" s="40">
        <f t="shared" si="14"/>
        <v>13</v>
      </c>
      <c r="G84" s="79">
        <f>E84/D84*100</f>
        <v>105.43933054393307</v>
      </c>
      <c r="H84" s="39"/>
      <c r="I84" s="42" t="s">
        <v>214</v>
      </c>
      <c r="J84" s="58" t="s">
        <v>135</v>
      </c>
      <c r="K84" s="59" t="s">
        <v>136</v>
      </c>
      <c r="L84" s="28" t="s">
        <v>0</v>
      </c>
      <c r="M84" s="30">
        <v>41</v>
      </c>
      <c r="N84" s="75">
        <v>43</v>
      </c>
      <c r="O84" s="40">
        <f t="shared" si="16"/>
        <v>2</v>
      </c>
      <c r="P84" s="79">
        <f t="shared" si="30"/>
        <v>104.8780487804878</v>
      </c>
      <c r="Q84" s="79"/>
      <c r="R84" s="42" t="s">
        <v>214</v>
      </c>
      <c r="S84" s="58" t="s">
        <v>135</v>
      </c>
      <c r="T84" s="59" t="s">
        <v>136</v>
      </c>
      <c r="U84" s="28" t="s">
        <v>0</v>
      </c>
      <c r="V84" s="30">
        <v>132</v>
      </c>
      <c r="W84" s="75">
        <v>139</v>
      </c>
      <c r="X84" s="40">
        <f t="shared" si="18"/>
        <v>7</v>
      </c>
      <c r="Y84" s="79">
        <f>W84/V84*100</f>
        <v>105.3030303030303</v>
      </c>
      <c r="Z84" s="79"/>
      <c r="AA84" s="42" t="s">
        <v>214</v>
      </c>
      <c r="AB84" s="58" t="s">
        <v>135</v>
      </c>
      <c r="AC84" s="59" t="s">
        <v>136</v>
      </c>
      <c r="AD84" s="28" t="s">
        <v>0</v>
      </c>
      <c r="AE84" s="30">
        <f t="shared" si="29"/>
        <v>412</v>
      </c>
      <c r="AF84" s="30">
        <f t="shared" si="29"/>
        <v>434</v>
      </c>
      <c r="AG84" s="30">
        <f t="shared" si="26"/>
        <v>22</v>
      </c>
      <c r="AH84" s="33">
        <f t="shared" si="27"/>
        <v>1.0533980582524272</v>
      </c>
      <c r="AI84" s="53"/>
    </row>
    <row r="85" spans="1:35" ht="21.75" customHeight="1">
      <c r="A85" s="58" t="s">
        <v>137</v>
      </c>
      <c r="B85" s="59" t="s">
        <v>138</v>
      </c>
      <c r="C85" s="28" t="s">
        <v>0</v>
      </c>
      <c r="D85" s="30">
        <v>357</v>
      </c>
      <c r="E85" s="75">
        <v>357</v>
      </c>
      <c r="F85" s="40">
        <f t="shared" si="14"/>
        <v>0</v>
      </c>
      <c r="G85" s="79">
        <f t="shared" si="15"/>
        <v>100</v>
      </c>
      <c r="H85" s="39"/>
      <c r="I85" s="42"/>
      <c r="J85" s="58" t="s">
        <v>137</v>
      </c>
      <c r="K85" s="59" t="s">
        <v>138</v>
      </c>
      <c r="L85" s="28" t="s">
        <v>0</v>
      </c>
      <c r="M85" s="30">
        <v>62</v>
      </c>
      <c r="N85" s="75">
        <v>62</v>
      </c>
      <c r="O85" s="40">
        <f t="shared" si="16"/>
        <v>0</v>
      </c>
      <c r="P85" s="79">
        <f t="shared" si="30"/>
        <v>100</v>
      </c>
      <c r="Q85" s="79"/>
      <c r="R85" s="42"/>
      <c r="S85" s="58" t="s">
        <v>137</v>
      </c>
      <c r="T85" s="59" t="s">
        <v>138</v>
      </c>
      <c r="U85" s="28" t="s">
        <v>0</v>
      </c>
      <c r="V85" s="30">
        <v>197</v>
      </c>
      <c r="W85" s="75">
        <v>197</v>
      </c>
      <c r="X85" s="40">
        <f t="shared" si="18"/>
        <v>0</v>
      </c>
      <c r="Y85" s="79">
        <f>W85/V85*100</f>
        <v>100</v>
      </c>
      <c r="Z85" s="79"/>
      <c r="AA85" s="42"/>
      <c r="AB85" s="58" t="s">
        <v>137</v>
      </c>
      <c r="AC85" s="59" t="s">
        <v>138</v>
      </c>
      <c r="AD85" s="28" t="s">
        <v>0</v>
      </c>
      <c r="AE85" s="30">
        <f t="shared" si="29"/>
        <v>616</v>
      </c>
      <c r="AF85" s="30">
        <f t="shared" si="29"/>
        <v>616</v>
      </c>
      <c r="AG85" s="30">
        <f t="shared" si="26"/>
        <v>0</v>
      </c>
      <c r="AH85" s="33">
        <f t="shared" si="27"/>
        <v>1</v>
      </c>
      <c r="AI85" s="53"/>
    </row>
    <row r="86" spans="1:35" ht="11.25" customHeight="1">
      <c r="A86" s="58" t="s">
        <v>139</v>
      </c>
      <c r="B86" s="59" t="s">
        <v>140</v>
      </c>
      <c r="C86" s="28" t="s">
        <v>0</v>
      </c>
      <c r="D86" s="30">
        <v>833</v>
      </c>
      <c r="E86" s="75">
        <v>833</v>
      </c>
      <c r="F86" s="40">
        <f t="shared" si="14"/>
        <v>0</v>
      </c>
      <c r="G86" s="79">
        <f>E86/D86*100</f>
        <v>100</v>
      </c>
      <c r="H86" s="39"/>
      <c r="I86" s="42"/>
      <c r="J86" s="58" t="s">
        <v>139</v>
      </c>
      <c r="K86" s="59" t="s">
        <v>140</v>
      </c>
      <c r="L86" s="28" t="s">
        <v>0</v>
      </c>
      <c r="M86" s="30">
        <v>144</v>
      </c>
      <c r="N86" s="75">
        <v>144</v>
      </c>
      <c r="O86" s="40">
        <f t="shared" si="16"/>
        <v>0</v>
      </c>
      <c r="P86" s="79">
        <f t="shared" si="30"/>
        <v>100</v>
      </c>
      <c r="Q86" s="79"/>
      <c r="R86" s="42"/>
      <c r="S86" s="58" t="s">
        <v>139</v>
      </c>
      <c r="T86" s="59" t="s">
        <v>140</v>
      </c>
      <c r="U86" s="28" t="s">
        <v>0</v>
      </c>
      <c r="V86" s="30">
        <v>460</v>
      </c>
      <c r="W86" s="75">
        <v>460</v>
      </c>
      <c r="X86" s="40">
        <f t="shared" si="18"/>
        <v>0</v>
      </c>
      <c r="Y86" s="79">
        <f>W86/V86*100</f>
        <v>100</v>
      </c>
      <c r="Z86" s="79"/>
      <c r="AA86" s="42"/>
      <c r="AB86" s="58" t="s">
        <v>139</v>
      </c>
      <c r="AC86" s="59" t="s">
        <v>140</v>
      </c>
      <c r="AD86" s="28" t="s">
        <v>0</v>
      </c>
      <c r="AE86" s="32">
        <f t="shared" si="29"/>
        <v>1437</v>
      </c>
      <c r="AF86" s="30">
        <f t="shared" si="29"/>
        <v>1437</v>
      </c>
      <c r="AG86" s="30">
        <f t="shared" si="26"/>
        <v>0</v>
      </c>
      <c r="AH86" s="33">
        <f t="shared" si="27"/>
        <v>1</v>
      </c>
      <c r="AI86" s="53"/>
    </row>
    <row r="87" spans="1:35" ht="22.5" customHeight="1">
      <c r="A87" s="58" t="s">
        <v>141</v>
      </c>
      <c r="B87" s="59" t="s">
        <v>142</v>
      </c>
      <c r="C87" s="28" t="s">
        <v>0</v>
      </c>
      <c r="D87" s="30">
        <v>410</v>
      </c>
      <c r="E87" s="75">
        <v>403</v>
      </c>
      <c r="F87" s="40">
        <f t="shared" si="14"/>
        <v>-7</v>
      </c>
      <c r="G87" s="39">
        <f t="shared" si="15"/>
        <v>98.29268292682927</v>
      </c>
      <c r="H87" s="39"/>
      <c r="I87" s="42"/>
      <c r="J87" s="58" t="s">
        <v>141</v>
      </c>
      <c r="K87" s="59" t="s">
        <v>142</v>
      </c>
      <c r="L87" s="28" t="s">
        <v>0</v>
      </c>
      <c r="M87" s="30">
        <v>71</v>
      </c>
      <c r="N87" s="75">
        <v>70</v>
      </c>
      <c r="O87" s="40">
        <f t="shared" si="16"/>
        <v>-1</v>
      </c>
      <c r="P87" s="39">
        <f t="shared" si="30"/>
        <v>98.59154929577466</v>
      </c>
      <c r="Q87" s="39"/>
      <c r="R87" s="42"/>
      <c r="S87" s="58" t="s">
        <v>141</v>
      </c>
      <c r="T87" s="59" t="s">
        <v>142</v>
      </c>
      <c r="U87" s="28" t="s">
        <v>0</v>
      </c>
      <c r="V87" s="30">
        <v>226</v>
      </c>
      <c r="W87" s="75">
        <v>223</v>
      </c>
      <c r="X87" s="40">
        <f t="shared" si="18"/>
        <v>-3</v>
      </c>
      <c r="Y87" s="39">
        <f t="shared" si="19"/>
        <v>98.67256637168141</v>
      </c>
      <c r="Z87" s="39"/>
      <c r="AA87" s="42"/>
      <c r="AB87" s="58" t="s">
        <v>141</v>
      </c>
      <c r="AC87" s="59" t="s">
        <v>142</v>
      </c>
      <c r="AD87" s="28" t="s">
        <v>0</v>
      </c>
      <c r="AE87" s="30">
        <f t="shared" si="29"/>
        <v>707</v>
      </c>
      <c r="AF87" s="30">
        <f t="shared" si="29"/>
        <v>696</v>
      </c>
      <c r="AG87" s="30">
        <f t="shared" si="26"/>
        <v>-11</v>
      </c>
      <c r="AH87" s="33">
        <f t="shared" si="27"/>
        <v>0.9844413012729845</v>
      </c>
      <c r="AI87" s="53"/>
    </row>
    <row r="88" spans="1:35" ht="14.25" customHeight="1">
      <c r="A88" s="61" t="s">
        <v>12</v>
      </c>
      <c r="B88" s="62" t="s">
        <v>13</v>
      </c>
      <c r="C88" s="28" t="s">
        <v>0</v>
      </c>
      <c r="D88" s="76">
        <f>D8+D46+1</f>
        <v>1486378.2</v>
      </c>
      <c r="E88" s="76">
        <f>E8+E46</f>
        <v>1494400</v>
      </c>
      <c r="F88" s="40">
        <f>E88-D88</f>
        <v>8021.800000000047</v>
      </c>
      <c r="G88" s="39">
        <f>E88/D88*100</f>
        <v>100.53968767841187</v>
      </c>
      <c r="H88" s="39">
        <f>SUM(H11:H87)</f>
        <v>-381.500000000005</v>
      </c>
      <c r="I88" s="42"/>
      <c r="J88" s="61" t="s">
        <v>12</v>
      </c>
      <c r="K88" s="62" t="s">
        <v>13</v>
      </c>
      <c r="L88" s="28" t="s">
        <v>0</v>
      </c>
      <c r="M88" s="54">
        <f>M8+M46-1.1</f>
        <v>148004.9</v>
      </c>
      <c r="N88" s="76">
        <f>N8+N46</f>
        <v>128119</v>
      </c>
      <c r="O88" s="40">
        <f t="shared" si="16"/>
        <v>-19885.899999999994</v>
      </c>
      <c r="P88" s="39">
        <f t="shared" si="17"/>
        <v>86.56402592076343</v>
      </c>
      <c r="Q88" s="39">
        <f>SUM(Q11:Q87)</f>
        <v>18679.049999999992</v>
      </c>
      <c r="R88" s="36"/>
      <c r="S88" s="61" t="s">
        <v>12</v>
      </c>
      <c r="T88" s="62" t="s">
        <v>13</v>
      </c>
      <c r="U88" s="28" t="s">
        <v>0</v>
      </c>
      <c r="V88" s="76">
        <f>V8+V46+1</f>
        <v>753908</v>
      </c>
      <c r="W88" s="76">
        <f>W8+W46</f>
        <v>803500</v>
      </c>
      <c r="X88" s="40">
        <f t="shared" si="18"/>
        <v>49592</v>
      </c>
      <c r="Y88" s="39">
        <f t="shared" si="19"/>
        <v>106.57799094849769</v>
      </c>
      <c r="Z88" s="39">
        <f>SUM(Z11:Z87)</f>
        <v>-33919.95</v>
      </c>
      <c r="AA88" s="36"/>
      <c r="AB88" s="61" t="s">
        <v>12</v>
      </c>
      <c r="AC88" s="62" t="s">
        <v>13</v>
      </c>
      <c r="AD88" s="28" t="s">
        <v>0</v>
      </c>
      <c r="AE88" s="76">
        <f>AE8+AE46+2</f>
        <v>2388291.2</v>
      </c>
      <c r="AF88" s="76">
        <f>AF8+AF46</f>
        <v>2426019</v>
      </c>
      <c r="AG88" s="30">
        <f t="shared" si="26"/>
        <v>37727.799999999814</v>
      </c>
      <c r="AH88" s="33">
        <f t="shared" si="27"/>
        <v>1.0157969848902846</v>
      </c>
      <c r="AI88" s="53"/>
    </row>
    <row r="89" spans="1:35" ht="11.25">
      <c r="A89" s="61" t="s">
        <v>14</v>
      </c>
      <c r="B89" s="62" t="s">
        <v>21</v>
      </c>
      <c r="C89" s="28" t="s">
        <v>0</v>
      </c>
      <c r="D89" s="76">
        <v>341587</v>
      </c>
      <c r="E89" s="76">
        <f>E93-E88</f>
        <v>144777</v>
      </c>
      <c r="F89" s="40">
        <f aca="true" t="shared" si="31" ref="F89:F108">E89-D89</f>
        <v>-196810</v>
      </c>
      <c r="G89" s="39">
        <f aca="true" t="shared" si="32" ref="G89:G108">E89/D89*100</f>
        <v>42.38363872161411</v>
      </c>
      <c r="H89" s="39"/>
      <c r="I89" s="101"/>
      <c r="J89" s="61" t="s">
        <v>14</v>
      </c>
      <c r="K89" s="62" t="s">
        <v>21</v>
      </c>
      <c r="L89" s="28" t="s">
        <v>0</v>
      </c>
      <c r="M89" s="76">
        <f>M93-M88</f>
        <v>24185</v>
      </c>
      <c r="N89" s="76">
        <f>N93-N88</f>
        <v>-4661</v>
      </c>
      <c r="O89" s="40">
        <f t="shared" si="16"/>
        <v>-28846</v>
      </c>
      <c r="P89" s="39">
        <f t="shared" si="17"/>
        <v>-19.272276204258837</v>
      </c>
      <c r="Q89" s="39"/>
      <c r="R89" s="93"/>
      <c r="S89" s="61" t="s">
        <v>14</v>
      </c>
      <c r="T89" s="62" t="s">
        <v>21</v>
      </c>
      <c r="U89" s="28" t="s">
        <v>0</v>
      </c>
      <c r="V89" s="76">
        <v>108456</v>
      </c>
      <c r="W89" s="76">
        <f>W93-W88</f>
        <v>30548</v>
      </c>
      <c r="X89" s="40">
        <f t="shared" si="18"/>
        <v>-77908</v>
      </c>
      <c r="Y89" s="39">
        <f t="shared" si="19"/>
        <v>28.166260972191488</v>
      </c>
      <c r="Z89" s="39"/>
      <c r="AA89" s="101"/>
      <c r="AB89" s="61" t="s">
        <v>14</v>
      </c>
      <c r="AC89" s="62" t="s">
        <v>21</v>
      </c>
      <c r="AD89" s="28" t="s">
        <v>0</v>
      </c>
      <c r="AE89" s="76">
        <f>AE93-AE88+AE92</f>
        <v>474227.6999999997</v>
      </c>
      <c r="AF89" s="76">
        <f>AF93-AF88-0.5</f>
        <v>170663.5</v>
      </c>
      <c r="AG89" s="30">
        <f t="shared" si="26"/>
        <v>-303564.1999999997</v>
      </c>
      <c r="AH89" s="33">
        <f t="shared" si="27"/>
        <v>0.359876700580755</v>
      </c>
      <c r="AI89" s="53"/>
    </row>
    <row r="90" spans="1:35" ht="22.5" customHeight="1">
      <c r="A90" s="61" t="s">
        <v>15</v>
      </c>
      <c r="B90" s="62" t="s">
        <v>143</v>
      </c>
      <c r="C90" s="28" t="s">
        <v>0</v>
      </c>
      <c r="D90" s="76">
        <v>1153415</v>
      </c>
      <c r="E90" s="80">
        <v>658417.82531927</v>
      </c>
      <c r="F90" s="40">
        <v>-367597.94626177254</v>
      </c>
      <c r="G90" s="39">
        <v>68.1296024187502</v>
      </c>
      <c r="H90" s="39"/>
      <c r="I90" s="36"/>
      <c r="J90" s="61" t="s">
        <v>15</v>
      </c>
      <c r="K90" s="62" t="s">
        <v>143</v>
      </c>
      <c r="L90" s="28" t="s">
        <v>0</v>
      </c>
      <c r="M90" s="76">
        <v>4743</v>
      </c>
      <c r="N90" s="80">
        <v>44040.13632407042</v>
      </c>
      <c r="O90" s="40">
        <f t="shared" si="16"/>
        <v>39297.13632407042</v>
      </c>
      <c r="P90" s="39">
        <f t="shared" si="17"/>
        <v>928.529123425478</v>
      </c>
      <c r="Q90" s="39"/>
      <c r="R90" s="36"/>
      <c r="S90" s="61" t="s">
        <v>15</v>
      </c>
      <c r="T90" s="62" t="s">
        <v>143</v>
      </c>
      <c r="U90" s="28" t="s">
        <v>0</v>
      </c>
      <c r="V90" s="76">
        <v>388713</v>
      </c>
      <c r="W90" s="87">
        <v>367322.611954403</v>
      </c>
      <c r="X90" s="40">
        <f t="shared" si="18"/>
        <v>-21390.388045597007</v>
      </c>
      <c r="Y90" s="39">
        <f t="shared" si="19"/>
        <v>94.4971256310962</v>
      </c>
      <c r="Z90" s="39"/>
      <c r="AA90" s="36"/>
      <c r="AB90" s="61" t="s">
        <v>15</v>
      </c>
      <c r="AC90" s="62" t="s">
        <v>143</v>
      </c>
      <c r="AD90" s="28" t="s">
        <v>0</v>
      </c>
      <c r="AE90" s="76">
        <f>D90+V90+M90</f>
        <v>1546871</v>
      </c>
      <c r="AF90" s="76">
        <v>1069780.5735977434</v>
      </c>
      <c r="AG90" s="30">
        <f t="shared" si="26"/>
        <v>-477090.4264022566</v>
      </c>
      <c r="AH90" s="33">
        <f t="shared" si="27"/>
        <v>0.691577108626216</v>
      </c>
      <c r="AI90" s="53"/>
    </row>
    <row r="91" spans="1:35" ht="36.75" customHeight="1" hidden="1">
      <c r="A91" s="61" t="s">
        <v>15</v>
      </c>
      <c r="B91" s="62" t="s">
        <v>184</v>
      </c>
      <c r="C91" s="28" t="s">
        <v>0</v>
      </c>
      <c r="D91" s="76">
        <v>0</v>
      </c>
      <c r="E91" s="80"/>
      <c r="F91" s="40">
        <f t="shared" si="31"/>
        <v>0</v>
      </c>
      <c r="G91" s="39" t="e">
        <f>E91/D91*100</f>
        <v>#DIV/0!</v>
      </c>
      <c r="H91" s="39"/>
      <c r="I91" s="36"/>
      <c r="J91" s="61"/>
      <c r="K91" s="62" t="s">
        <v>184</v>
      </c>
      <c r="L91" s="28" t="s">
        <v>0</v>
      </c>
      <c r="M91" s="30">
        <v>0</v>
      </c>
      <c r="N91" s="80"/>
      <c r="O91" s="40"/>
      <c r="P91" s="39"/>
      <c r="Q91" s="39"/>
      <c r="R91" s="36"/>
      <c r="S91" s="61"/>
      <c r="T91" s="62" t="s">
        <v>184</v>
      </c>
      <c r="U91" s="28" t="s">
        <v>0</v>
      </c>
      <c r="V91" s="76">
        <v>0</v>
      </c>
      <c r="W91" s="87">
        <v>0</v>
      </c>
      <c r="X91" s="40"/>
      <c r="Y91" s="39"/>
      <c r="Z91" s="39"/>
      <c r="AA91" s="36"/>
      <c r="AB91" s="61"/>
      <c r="AC91" s="62"/>
      <c r="AD91" s="28" t="s">
        <v>0</v>
      </c>
      <c r="AE91" s="76"/>
      <c r="AF91" s="76"/>
      <c r="AG91" s="30"/>
      <c r="AH91" s="33"/>
      <c r="AI91" s="53"/>
    </row>
    <row r="92" spans="1:35" ht="23.25" customHeight="1">
      <c r="A92" s="61"/>
      <c r="B92" s="62" t="s">
        <v>188</v>
      </c>
      <c r="C92" s="28" t="s">
        <v>0</v>
      </c>
      <c r="D92" s="76">
        <v>35535</v>
      </c>
      <c r="E92" s="80"/>
      <c r="F92" s="40">
        <f t="shared" si="31"/>
        <v>-35535</v>
      </c>
      <c r="G92" s="39">
        <f>E92/D92*100</f>
        <v>0</v>
      </c>
      <c r="H92" s="39"/>
      <c r="I92" s="36"/>
      <c r="J92" s="61"/>
      <c r="K92" s="62" t="s">
        <v>188</v>
      </c>
      <c r="L92" s="28"/>
      <c r="M92" s="30">
        <v>0</v>
      </c>
      <c r="N92" s="80"/>
      <c r="O92" s="40"/>
      <c r="P92" s="39"/>
      <c r="Q92" s="39"/>
      <c r="R92" s="36"/>
      <c r="S92" s="61"/>
      <c r="T92" s="62" t="s">
        <v>188</v>
      </c>
      <c r="U92" s="28" t="s">
        <v>0</v>
      </c>
      <c r="V92" s="76">
        <v>14455</v>
      </c>
      <c r="W92" s="87"/>
      <c r="X92" s="40"/>
      <c r="Y92" s="39"/>
      <c r="Z92" s="39"/>
      <c r="AA92" s="36"/>
      <c r="AB92" s="61"/>
      <c r="AC92" s="62" t="s">
        <v>188</v>
      </c>
      <c r="AD92" s="28" t="s">
        <v>0</v>
      </c>
      <c r="AE92" s="76">
        <f>D92+V92</f>
        <v>49990</v>
      </c>
      <c r="AF92" s="76"/>
      <c r="AG92" s="30"/>
      <c r="AH92" s="33"/>
      <c r="AI92" s="53"/>
    </row>
    <row r="93" spans="1:35" ht="14.25" customHeight="1">
      <c r="A93" s="61" t="s">
        <v>17</v>
      </c>
      <c r="B93" s="62" t="s">
        <v>16</v>
      </c>
      <c r="C93" s="28" t="s">
        <v>0</v>
      </c>
      <c r="D93" s="76">
        <v>1792430</v>
      </c>
      <c r="E93" s="76">
        <v>1639177</v>
      </c>
      <c r="F93" s="40">
        <f t="shared" si="31"/>
        <v>-153253</v>
      </c>
      <c r="G93" s="39">
        <f t="shared" si="32"/>
        <v>91.4499868893067</v>
      </c>
      <c r="H93" s="39"/>
      <c r="I93" s="101"/>
      <c r="J93" s="61" t="s">
        <v>17</v>
      </c>
      <c r="K93" s="62" t="s">
        <v>16</v>
      </c>
      <c r="L93" s="28" t="s">
        <v>0</v>
      </c>
      <c r="M93" s="54">
        <v>172189.9</v>
      </c>
      <c r="N93" s="76">
        <v>123458</v>
      </c>
      <c r="O93" s="40">
        <f t="shared" si="16"/>
        <v>-48731.899999999994</v>
      </c>
      <c r="P93" s="39">
        <f t="shared" si="17"/>
        <v>71.69874655830569</v>
      </c>
      <c r="Q93" s="39"/>
      <c r="R93" s="36"/>
      <c r="S93" s="61" t="s">
        <v>17</v>
      </c>
      <c r="T93" s="62" t="s">
        <v>16</v>
      </c>
      <c r="U93" s="28" t="s">
        <v>0</v>
      </c>
      <c r="V93" s="76">
        <v>847909</v>
      </c>
      <c r="W93" s="76">
        <v>834048</v>
      </c>
      <c r="X93" s="40">
        <f t="shared" si="18"/>
        <v>-13861</v>
      </c>
      <c r="Y93" s="39">
        <f t="shared" si="19"/>
        <v>98.36527268846066</v>
      </c>
      <c r="Z93" s="39"/>
      <c r="AA93" s="36"/>
      <c r="AB93" s="61" t="s">
        <v>17</v>
      </c>
      <c r="AC93" s="62" t="s">
        <v>16</v>
      </c>
      <c r="AD93" s="28" t="s">
        <v>0</v>
      </c>
      <c r="AE93" s="76">
        <f>D93+M93+V93</f>
        <v>2812528.9</v>
      </c>
      <c r="AF93" s="76">
        <f>E93+N93+W93</f>
        <v>2596683</v>
      </c>
      <c r="AG93" s="30">
        <f t="shared" si="26"/>
        <v>-215845.8999999999</v>
      </c>
      <c r="AH93" s="33">
        <f t="shared" si="27"/>
        <v>0.9232555797026655</v>
      </c>
      <c r="AI93" s="53"/>
    </row>
    <row r="94" spans="1:35" ht="14.25" customHeight="1">
      <c r="A94" s="66" t="s">
        <v>41</v>
      </c>
      <c r="B94" s="67" t="s">
        <v>18</v>
      </c>
      <c r="C94" s="28" t="s">
        <v>25</v>
      </c>
      <c r="D94" s="30">
        <v>15694</v>
      </c>
      <c r="E94" s="30">
        <v>14596</v>
      </c>
      <c r="F94" s="40">
        <f t="shared" si="31"/>
        <v>-1098</v>
      </c>
      <c r="G94" s="39">
        <f t="shared" si="32"/>
        <v>93.00369567987767</v>
      </c>
      <c r="H94" s="39"/>
      <c r="I94" s="36"/>
      <c r="J94" s="66" t="s">
        <v>41</v>
      </c>
      <c r="K94" s="67" t="s">
        <v>18</v>
      </c>
      <c r="L94" s="28" t="s">
        <v>25</v>
      </c>
      <c r="M94" s="30">
        <v>9214</v>
      </c>
      <c r="N94" s="30">
        <v>6664</v>
      </c>
      <c r="O94" s="40">
        <f t="shared" si="16"/>
        <v>-2550</v>
      </c>
      <c r="P94" s="39">
        <f t="shared" si="17"/>
        <v>72.32472324723247</v>
      </c>
      <c r="Q94" s="39"/>
      <c r="R94" s="36"/>
      <c r="S94" s="66" t="s">
        <v>41</v>
      </c>
      <c r="T94" s="67" t="s">
        <v>18</v>
      </c>
      <c r="U94" s="28" t="s">
        <v>25</v>
      </c>
      <c r="V94" s="30">
        <v>9921</v>
      </c>
      <c r="W94" s="30">
        <v>9647</v>
      </c>
      <c r="X94" s="40">
        <f t="shared" si="18"/>
        <v>-274</v>
      </c>
      <c r="Y94" s="39">
        <f t="shared" si="19"/>
        <v>97.23818163491583</v>
      </c>
      <c r="Z94" s="39"/>
      <c r="AA94" s="36"/>
      <c r="AB94" s="66" t="s">
        <v>41</v>
      </c>
      <c r="AC94" s="67" t="s">
        <v>18</v>
      </c>
      <c r="AD94" s="28" t="s">
        <v>25</v>
      </c>
      <c r="AE94" s="30"/>
      <c r="AF94" s="30"/>
      <c r="AG94" s="30"/>
      <c r="AH94" s="30"/>
      <c r="AI94" s="53"/>
    </row>
    <row r="95" spans="1:35" ht="14.25" customHeight="1">
      <c r="A95" s="112" t="s">
        <v>42</v>
      </c>
      <c r="B95" s="113" t="s">
        <v>144</v>
      </c>
      <c r="C95" s="28" t="s">
        <v>1</v>
      </c>
      <c r="D95" s="35">
        <v>19.5</v>
      </c>
      <c r="E95" s="35">
        <v>18.37</v>
      </c>
      <c r="F95" s="41">
        <f t="shared" si="31"/>
        <v>-1.129999999999999</v>
      </c>
      <c r="G95" s="39">
        <f t="shared" si="32"/>
        <v>94.2051282051282</v>
      </c>
      <c r="H95" s="39"/>
      <c r="I95" s="36"/>
      <c r="J95" s="112" t="s">
        <v>42</v>
      </c>
      <c r="K95" s="113" t="s">
        <v>144</v>
      </c>
      <c r="L95" s="28" t="s">
        <v>1</v>
      </c>
      <c r="M95" s="32">
        <v>7.2</v>
      </c>
      <c r="N95" s="35">
        <v>6.68</v>
      </c>
      <c r="O95" s="41">
        <f t="shared" si="16"/>
        <v>-0.5200000000000005</v>
      </c>
      <c r="P95" s="39">
        <f t="shared" si="17"/>
        <v>92.77777777777777</v>
      </c>
      <c r="Q95" s="39"/>
      <c r="R95" s="36"/>
      <c r="S95" s="112" t="s">
        <v>42</v>
      </c>
      <c r="T95" s="113" t="s">
        <v>144</v>
      </c>
      <c r="U95" s="28" t="s">
        <v>1</v>
      </c>
      <c r="V95" s="35"/>
      <c r="W95" s="48"/>
      <c r="X95" s="40"/>
      <c r="Y95" s="39"/>
      <c r="Z95" s="39"/>
      <c r="AA95" s="36"/>
      <c r="AB95" s="112" t="s">
        <v>42</v>
      </c>
      <c r="AC95" s="113" t="s">
        <v>144</v>
      </c>
      <c r="AD95" s="28" t="s">
        <v>1</v>
      </c>
      <c r="AE95" s="30"/>
      <c r="AF95" s="30"/>
      <c r="AG95" s="30"/>
      <c r="AH95" s="30"/>
      <c r="AI95" s="53"/>
    </row>
    <row r="96" spans="1:35" ht="14.25" customHeight="1">
      <c r="A96" s="112"/>
      <c r="B96" s="113"/>
      <c r="C96" s="28" t="s">
        <v>25</v>
      </c>
      <c r="D96" s="30">
        <v>3887.5</v>
      </c>
      <c r="E96" s="30">
        <v>3289</v>
      </c>
      <c r="F96" s="40">
        <f t="shared" si="31"/>
        <v>-598.5</v>
      </c>
      <c r="G96" s="39">
        <f t="shared" si="32"/>
        <v>84.60450160771704</v>
      </c>
      <c r="H96" s="39"/>
      <c r="I96" s="36"/>
      <c r="J96" s="112"/>
      <c r="K96" s="113"/>
      <c r="L96" s="28" t="s">
        <v>25</v>
      </c>
      <c r="M96" s="30">
        <v>709</v>
      </c>
      <c r="N96" s="30">
        <f>477129/1000</f>
        <v>477.129</v>
      </c>
      <c r="O96" s="40">
        <f t="shared" si="16"/>
        <v>-231.87099999999998</v>
      </c>
      <c r="P96" s="39">
        <f t="shared" si="17"/>
        <v>67.29605077574048</v>
      </c>
      <c r="Q96" s="39"/>
      <c r="R96" s="36"/>
      <c r="S96" s="112"/>
      <c r="T96" s="113"/>
      <c r="U96" s="28" t="s">
        <v>25</v>
      </c>
      <c r="V96" s="32"/>
      <c r="W96" s="48"/>
      <c r="X96" s="40"/>
      <c r="Y96" s="39"/>
      <c r="Z96" s="39"/>
      <c r="AA96" s="36"/>
      <c r="AB96" s="112"/>
      <c r="AC96" s="113"/>
      <c r="AD96" s="28" t="s">
        <v>25</v>
      </c>
      <c r="AE96" s="30"/>
      <c r="AF96" s="30"/>
      <c r="AG96" s="30"/>
      <c r="AH96" s="30"/>
      <c r="AI96" s="53"/>
    </row>
    <row r="97" spans="1:35" ht="14.25" customHeight="1">
      <c r="A97" s="66" t="s">
        <v>145</v>
      </c>
      <c r="B97" s="67" t="s">
        <v>146</v>
      </c>
      <c r="C97" s="28" t="s">
        <v>163</v>
      </c>
      <c r="D97" s="71">
        <f>D93/D94</f>
        <v>114.21116350197528</v>
      </c>
      <c r="E97" s="71">
        <f>E93/E94</f>
        <v>112.30316525075364</v>
      </c>
      <c r="F97" s="41">
        <f t="shared" si="31"/>
        <v>-1.9079982512216418</v>
      </c>
      <c r="G97" s="39">
        <f t="shared" si="32"/>
        <v>98.3294117731419</v>
      </c>
      <c r="H97" s="39"/>
      <c r="I97" s="36"/>
      <c r="J97" s="66" t="s">
        <v>145</v>
      </c>
      <c r="K97" s="67" t="s">
        <v>146</v>
      </c>
      <c r="L97" s="28" t="s">
        <v>163</v>
      </c>
      <c r="M97" s="71">
        <f>M93/M94</f>
        <v>18.687855437377902</v>
      </c>
      <c r="N97" s="71">
        <f>N93/N94</f>
        <v>18.52611044417767</v>
      </c>
      <c r="O97" s="41">
        <f t="shared" si="16"/>
        <v>-0.16174499320023017</v>
      </c>
      <c r="P97" s="39">
        <f t="shared" si="17"/>
        <v>99.13449141480022</v>
      </c>
      <c r="Q97" s="39"/>
      <c r="R97" s="36"/>
      <c r="S97" s="66" t="s">
        <v>145</v>
      </c>
      <c r="T97" s="67" t="s">
        <v>146</v>
      </c>
      <c r="U97" s="28" t="s">
        <v>163</v>
      </c>
      <c r="V97" s="71">
        <f>V93/V94</f>
        <v>85.46608204818062</v>
      </c>
      <c r="W97" s="71">
        <f>W93/W94</f>
        <v>86.45672229708718</v>
      </c>
      <c r="X97" s="41">
        <f t="shared" si="18"/>
        <v>0.9906402489065584</v>
      </c>
      <c r="Y97" s="39">
        <f t="shared" si="19"/>
        <v>101.15910338366523</v>
      </c>
      <c r="Z97" s="39"/>
      <c r="AA97" s="36"/>
      <c r="AB97" s="66" t="s">
        <v>145</v>
      </c>
      <c r="AC97" s="67" t="s">
        <v>146</v>
      </c>
      <c r="AD97" s="28" t="s">
        <v>163</v>
      </c>
      <c r="AE97" s="30"/>
      <c r="AF97" s="30"/>
      <c r="AG97" s="30"/>
      <c r="AH97" s="30"/>
      <c r="AI97" s="53"/>
    </row>
    <row r="98" spans="1:35" ht="14.25" customHeight="1" hidden="1">
      <c r="A98" s="58"/>
      <c r="B98" s="82" t="s">
        <v>60</v>
      </c>
      <c r="C98" s="83"/>
      <c r="D98" s="48"/>
      <c r="E98" s="85"/>
      <c r="F98" s="79"/>
      <c r="G98" s="79"/>
      <c r="H98" s="79"/>
      <c r="I98" s="36"/>
      <c r="J98" s="58"/>
      <c r="K98" s="68" t="s">
        <v>60</v>
      </c>
      <c r="L98" s="28"/>
      <c r="M98" s="48"/>
      <c r="N98" s="85"/>
      <c r="O98" s="86"/>
      <c r="P98" s="79"/>
      <c r="Q98" s="79"/>
      <c r="R98" s="36"/>
      <c r="S98" s="58"/>
      <c r="T98" s="68" t="s">
        <v>60</v>
      </c>
      <c r="U98" s="28"/>
      <c r="V98" s="48"/>
      <c r="W98" s="48"/>
      <c r="X98" s="40"/>
      <c r="Y98" s="39"/>
      <c r="Z98" s="39"/>
      <c r="AA98" s="36"/>
      <c r="AB98" s="58"/>
      <c r="AC98" s="68" t="s">
        <v>60</v>
      </c>
      <c r="AD98" s="28"/>
      <c r="AE98" s="30"/>
      <c r="AF98" s="30"/>
      <c r="AG98" s="30"/>
      <c r="AH98" s="30"/>
      <c r="AI98" s="53"/>
    </row>
    <row r="99" spans="1:35" ht="21" customHeight="1" hidden="1">
      <c r="A99" s="58" t="s">
        <v>147</v>
      </c>
      <c r="B99" s="84" t="s">
        <v>148</v>
      </c>
      <c r="C99" s="83" t="s">
        <v>164</v>
      </c>
      <c r="D99" s="55">
        <f>D101+D102+D103</f>
        <v>405</v>
      </c>
      <c r="E99" s="55">
        <f>E101+E102+E103</f>
        <v>406</v>
      </c>
      <c r="F99" s="81">
        <f t="shared" si="31"/>
        <v>1</v>
      </c>
      <c r="G99" s="79">
        <f t="shared" si="32"/>
        <v>100.24691358024691</v>
      </c>
      <c r="H99" s="79"/>
      <c r="I99" s="36"/>
      <c r="J99" s="58" t="s">
        <v>147</v>
      </c>
      <c r="K99" s="59" t="s">
        <v>148</v>
      </c>
      <c r="L99" s="28" t="s">
        <v>164</v>
      </c>
      <c r="M99" s="77">
        <f>M101+M102+M103</f>
        <v>41</v>
      </c>
      <c r="N99" s="77">
        <f>N101+N102+N103</f>
        <v>40</v>
      </c>
      <c r="O99" s="81">
        <f t="shared" si="16"/>
        <v>-1</v>
      </c>
      <c r="P99" s="79">
        <f t="shared" si="17"/>
        <v>97.5609756097561</v>
      </c>
      <c r="Q99" s="79"/>
      <c r="R99" s="36"/>
      <c r="S99" s="58" t="s">
        <v>147</v>
      </c>
      <c r="T99" s="59" t="s">
        <v>148</v>
      </c>
      <c r="U99" s="28" t="s">
        <v>164</v>
      </c>
      <c r="V99" s="55">
        <f>V101+V102+V103</f>
        <v>246</v>
      </c>
      <c r="W99" s="55">
        <f>W101+W102+W103</f>
        <v>247</v>
      </c>
      <c r="X99" s="40">
        <f>W99-V99</f>
        <v>1</v>
      </c>
      <c r="Y99" s="39">
        <f>W99/V99*100</f>
        <v>100.40650406504066</v>
      </c>
      <c r="Z99" s="39"/>
      <c r="AA99" s="36"/>
      <c r="AB99" s="58" t="s">
        <v>147</v>
      </c>
      <c r="AC99" s="59" t="s">
        <v>148</v>
      </c>
      <c r="AD99" s="28" t="s">
        <v>164</v>
      </c>
      <c r="AE99" s="30">
        <f>D99+M99+V99</f>
        <v>692</v>
      </c>
      <c r="AF99" s="30">
        <f>E99+N99+W99</f>
        <v>693</v>
      </c>
      <c r="AG99" s="30">
        <f t="shared" si="26"/>
        <v>1</v>
      </c>
      <c r="AH99" s="33">
        <f t="shared" si="27"/>
        <v>1.0014450867052023</v>
      </c>
      <c r="AI99" s="53"/>
    </row>
    <row r="100" spans="1:35" ht="11.25" hidden="1">
      <c r="A100" s="58"/>
      <c r="B100" s="84" t="s">
        <v>3</v>
      </c>
      <c r="C100" s="83"/>
      <c r="D100" s="30"/>
      <c r="E100" s="48"/>
      <c r="F100" s="81"/>
      <c r="G100" s="79"/>
      <c r="H100" s="79"/>
      <c r="I100" s="36"/>
      <c r="J100" s="58"/>
      <c r="K100" s="59" t="s">
        <v>3</v>
      </c>
      <c r="L100" s="28"/>
      <c r="M100" s="30"/>
      <c r="N100" s="48"/>
      <c r="O100" s="81"/>
      <c r="P100" s="79"/>
      <c r="Q100" s="79"/>
      <c r="R100" s="36"/>
      <c r="S100" s="58"/>
      <c r="T100" s="59" t="s">
        <v>3</v>
      </c>
      <c r="U100" s="28"/>
      <c r="V100" s="30"/>
      <c r="W100" s="48"/>
      <c r="X100" s="40"/>
      <c r="Y100" s="39"/>
      <c r="Z100" s="39"/>
      <c r="AA100" s="36"/>
      <c r="AB100" s="58"/>
      <c r="AC100" s="59" t="s">
        <v>3</v>
      </c>
      <c r="AD100" s="28"/>
      <c r="AE100" s="30"/>
      <c r="AF100" s="30"/>
      <c r="AG100" s="30"/>
      <c r="AH100" s="33"/>
      <c r="AI100" s="53"/>
    </row>
    <row r="101" spans="1:35" ht="14.25" customHeight="1" hidden="1">
      <c r="A101" s="58" t="s">
        <v>149</v>
      </c>
      <c r="B101" s="59" t="s">
        <v>150</v>
      </c>
      <c r="C101" s="28" t="s">
        <v>164</v>
      </c>
      <c r="D101" s="30">
        <f>265+91</f>
        <v>356</v>
      </c>
      <c r="E101" s="30">
        <f>266+91</f>
        <v>357</v>
      </c>
      <c r="F101" s="40">
        <f t="shared" si="31"/>
        <v>1</v>
      </c>
      <c r="G101" s="39">
        <f t="shared" si="32"/>
        <v>100.2808988764045</v>
      </c>
      <c r="H101" s="39"/>
      <c r="I101" s="36"/>
      <c r="J101" s="58" t="s">
        <v>149</v>
      </c>
      <c r="K101" s="59" t="s">
        <v>150</v>
      </c>
      <c r="L101" s="28" t="s">
        <v>164</v>
      </c>
      <c r="M101" s="30">
        <f>23+4</f>
        <v>27</v>
      </c>
      <c r="N101" s="30">
        <f>23+4</f>
        <v>27</v>
      </c>
      <c r="O101" s="40">
        <f>N101-M101</f>
        <v>0</v>
      </c>
      <c r="P101" s="39">
        <f>N101/M101*100</f>
        <v>100</v>
      </c>
      <c r="Q101" s="39"/>
      <c r="R101" s="36"/>
      <c r="S101" s="58" t="s">
        <v>149</v>
      </c>
      <c r="T101" s="59" t="s">
        <v>150</v>
      </c>
      <c r="U101" s="28" t="s">
        <v>164</v>
      </c>
      <c r="V101" s="30">
        <f>162+46</f>
        <v>208</v>
      </c>
      <c r="W101" s="30">
        <f>208</f>
        <v>208</v>
      </c>
      <c r="X101" s="40">
        <f>W101-V101</f>
        <v>0</v>
      </c>
      <c r="Y101" s="39">
        <f>W101/V101*100</f>
        <v>100</v>
      </c>
      <c r="Z101" s="39"/>
      <c r="AA101" s="36"/>
      <c r="AB101" s="58" t="s">
        <v>149</v>
      </c>
      <c r="AC101" s="59" t="s">
        <v>150</v>
      </c>
      <c r="AD101" s="28" t="s">
        <v>164</v>
      </c>
      <c r="AE101" s="30">
        <f aca="true" t="shared" si="33" ref="AE101:AF103">D101+M101+V101</f>
        <v>591</v>
      </c>
      <c r="AF101" s="30">
        <f t="shared" si="33"/>
        <v>592</v>
      </c>
      <c r="AG101" s="30">
        <f t="shared" si="26"/>
        <v>1</v>
      </c>
      <c r="AH101" s="33">
        <f t="shared" si="27"/>
        <v>1.0016920473773265</v>
      </c>
      <c r="AI101" s="53"/>
    </row>
    <row r="102" spans="1:35" ht="14.25" customHeight="1" hidden="1">
      <c r="A102" s="58" t="s">
        <v>151</v>
      </c>
      <c r="B102" s="59" t="s">
        <v>152</v>
      </c>
      <c r="C102" s="28" t="s">
        <v>164</v>
      </c>
      <c r="D102" s="30">
        <v>15</v>
      </c>
      <c r="E102" s="30">
        <v>15</v>
      </c>
      <c r="F102" s="40">
        <f t="shared" si="31"/>
        <v>0</v>
      </c>
      <c r="G102" s="39">
        <f t="shared" si="32"/>
        <v>100</v>
      </c>
      <c r="H102" s="39"/>
      <c r="I102" s="36"/>
      <c r="J102" s="58" t="s">
        <v>151</v>
      </c>
      <c r="K102" s="59" t="s">
        <v>152</v>
      </c>
      <c r="L102" s="28" t="s">
        <v>164</v>
      </c>
      <c r="M102" s="30">
        <v>7</v>
      </c>
      <c r="N102" s="30">
        <v>6</v>
      </c>
      <c r="O102" s="40">
        <f>N102-M102</f>
        <v>-1</v>
      </c>
      <c r="P102" s="39">
        <f>N102/M102*100</f>
        <v>85.71428571428571</v>
      </c>
      <c r="Q102" s="39"/>
      <c r="R102" s="36"/>
      <c r="S102" s="58" t="s">
        <v>151</v>
      </c>
      <c r="T102" s="59" t="s">
        <v>152</v>
      </c>
      <c r="U102" s="28" t="s">
        <v>164</v>
      </c>
      <c r="V102" s="30">
        <v>16</v>
      </c>
      <c r="W102" s="30">
        <v>17</v>
      </c>
      <c r="X102" s="40">
        <f>W102-V102</f>
        <v>1</v>
      </c>
      <c r="Y102" s="39">
        <f>W102/V102*100</f>
        <v>106.25</v>
      </c>
      <c r="Z102" s="39"/>
      <c r="AA102" s="36"/>
      <c r="AB102" s="58" t="s">
        <v>151</v>
      </c>
      <c r="AC102" s="59" t="s">
        <v>152</v>
      </c>
      <c r="AD102" s="28" t="s">
        <v>164</v>
      </c>
      <c r="AE102" s="30">
        <f t="shared" si="33"/>
        <v>38</v>
      </c>
      <c r="AF102" s="30">
        <f t="shared" si="33"/>
        <v>38</v>
      </c>
      <c r="AG102" s="30">
        <f t="shared" si="26"/>
        <v>0</v>
      </c>
      <c r="AH102" s="33">
        <f t="shared" si="27"/>
        <v>1</v>
      </c>
      <c r="AI102" s="53"/>
    </row>
    <row r="103" spans="1:35" ht="14.25" customHeight="1" hidden="1">
      <c r="A103" s="58" t="s">
        <v>153</v>
      </c>
      <c r="B103" s="59" t="s">
        <v>154</v>
      </c>
      <c r="C103" s="28" t="s">
        <v>164</v>
      </c>
      <c r="D103" s="30">
        <v>34</v>
      </c>
      <c r="E103" s="30">
        <v>34</v>
      </c>
      <c r="F103" s="40">
        <f t="shared" si="31"/>
        <v>0</v>
      </c>
      <c r="G103" s="39">
        <f t="shared" si="32"/>
        <v>100</v>
      </c>
      <c r="H103" s="39"/>
      <c r="I103" s="36"/>
      <c r="J103" s="58" t="s">
        <v>153</v>
      </c>
      <c r="K103" s="59" t="s">
        <v>154</v>
      </c>
      <c r="L103" s="28" t="s">
        <v>164</v>
      </c>
      <c r="M103" s="30">
        <v>7</v>
      </c>
      <c r="N103" s="30">
        <v>7</v>
      </c>
      <c r="O103" s="40">
        <f>N103-M103</f>
        <v>0</v>
      </c>
      <c r="P103" s="39">
        <f>N103/M103*100</f>
        <v>100</v>
      </c>
      <c r="Q103" s="39"/>
      <c r="R103" s="36"/>
      <c r="S103" s="58" t="s">
        <v>153</v>
      </c>
      <c r="T103" s="59" t="s">
        <v>154</v>
      </c>
      <c r="U103" s="28" t="s">
        <v>164</v>
      </c>
      <c r="V103" s="30">
        <v>22</v>
      </c>
      <c r="W103" s="30">
        <v>22</v>
      </c>
      <c r="X103" s="40">
        <f>W103-V103</f>
        <v>0</v>
      </c>
      <c r="Y103" s="39">
        <f>W103/V103*100</f>
        <v>100</v>
      </c>
      <c r="Z103" s="39"/>
      <c r="AA103" s="36"/>
      <c r="AB103" s="58" t="s">
        <v>153</v>
      </c>
      <c r="AC103" s="59" t="s">
        <v>154</v>
      </c>
      <c r="AD103" s="28" t="s">
        <v>164</v>
      </c>
      <c r="AE103" s="30">
        <f t="shared" si="33"/>
        <v>63</v>
      </c>
      <c r="AF103" s="30">
        <f t="shared" si="33"/>
        <v>63</v>
      </c>
      <c r="AG103" s="30">
        <f t="shared" si="26"/>
        <v>0</v>
      </c>
      <c r="AH103" s="33">
        <f t="shared" si="27"/>
        <v>1</v>
      </c>
      <c r="AI103" s="53"/>
    </row>
    <row r="104" spans="1:35" ht="22.5" hidden="1">
      <c r="A104" s="58" t="s">
        <v>59</v>
      </c>
      <c r="B104" s="59" t="s">
        <v>155</v>
      </c>
      <c r="C104" s="28" t="s">
        <v>61</v>
      </c>
      <c r="D104" s="55">
        <f>(D19+D49+D72)/D99/12*1000</f>
        <v>68365.59670781893</v>
      </c>
      <c r="E104" s="55">
        <f>(E19+E49+E72)/E99/12*1000</f>
        <v>66018.06239737275</v>
      </c>
      <c r="F104" s="40">
        <f t="shared" si="31"/>
        <v>-2347.534310446179</v>
      </c>
      <c r="G104" s="39">
        <f t="shared" si="32"/>
        <v>96.56620519165644</v>
      </c>
      <c r="H104" s="39"/>
      <c r="I104" s="36"/>
      <c r="J104" s="58" t="s">
        <v>59</v>
      </c>
      <c r="K104" s="59" t="s">
        <v>155</v>
      </c>
      <c r="L104" s="28" t="s">
        <v>61</v>
      </c>
      <c r="M104" s="55">
        <f>(M19+M49+M72)/M99/12*1000</f>
        <v>74363.82113821138</v>
      </c>
      <c r="N104" s="55">
        <f>(N19+N49+N72)/N99/12*1000</f>
        <v>73618.74999999999</v>
      </c>
      <c r="O104" s="40">
        <f>N104-M104</f>
        <v>-745.071138211395</v>
      </c>
      <c r="P104" s="39">
        <f>N104/M104*100</f>
        <v>98.9980730860688</v>
      </c>
      <c r="Q104" s="39"/>
      <c r="R104" s="36"/>
      <c r="S104" s="58" t="s">
        <v>59</v>
      </c>
      <c r="T104" s="59" t="s">
        <v>155</v>
      </c>
      <c r="U104" s="28" t="s">
        <v>61</v>
      </c>
      <c r="V104" s="55">
        <f>(V19+V49+V72)/V99/12*1000</f>
        <v>66379.74254742547</v>
      </c>
      <c r="W104" s="55">
        <f>(W19+W49+W72)/W99/12*1000</f>
        <v>63687.92172739541</v>
      </c>
      <c r="X104" s="40">
        <f>W104-V104</f>
        <v>-2691.820820030058</v>
      </c>
      <c r="Y104" s="39">
        <f>W104/V104*100</f>
        <v>95.94481581770692</v>
      </c>
      <c r="Z104" s="39"/>
      <c r="AA104" s="36"/>
      <c r="AB104" s="58" t="s">
        <v>59</v>
      </c>
      <c r="AC104" s="59" t="s">
        <v>155</v>
      </c>
      <c r="AD104" s="28" t="s">
        <v>61</v>
      </c>
      <c r="AE104" s="55">
        <f>(AE19+AE49+AE72)/AE99/12*1000</f>
        <v>68015.02890173411</v>
      </c>
      <c r="AF104" s="55">
        <f>(AF19+AF49+AF72)/AF99/12*1000</f>
        <v>65626.14237614236</v>
      </c>
      <c r="AG104" s="30">
        <f t="shared" si="26"/>
        <v>-2388.886525591748</v>
      </c>
      <c r="AH104" s="33">
        <f t="shared" si="27"/>
        <v>0.9648770784315459</v>
      </c>
      <c r="AI104" s="53"/>
    </row>
    <row r="105" spans="1:35" ht="9.75" customHeight="1" hidden="1">
      <c r="A105" s="58"/>
      <c r="B105" s="59" t="s">
        <v>3</v>
      </c>
      <c r="C105" s="28"/>
      <c r="D105" s="69"/>
      <c r="E105" s="69"/>
      <c r="F105" s="39"/>
      <c r="G105" s="39"/>
      <c r="H105" s="39"/>
      <c r="I105" s="36"/>
      <c r="J105" s="58"/>
      <c r="K105" s="59" t="s">
        <v>3</v>
      </c>
      <c r="L105" s="28"/>
      <c r="M105" s="69"/>
      <c r="N105" s="69"/>
      <c r="O105" s="40"/>
      <c r="P105" s="39"/>
      <c r="Q105" s="39"/>
      <c r="R105" s="36"/>
      <c r="S105" s="58"/>
      <c r="T105" s="59" t="s">
        <v>3</v>
      </c>
      <c r="U105" s="28"/>
      <c r="V105" s="69"/>
      <c r="W105" s="69"/>
      <c r="X105" s="40"/>
      <c r="Y105" s="39"/>
      <c r="Z105" s="39"/>
      <c r="AA105" s="36"/>
      <c r="AB105" s="58"/>
      <c r="AC105" s="59" t="s">
        <v>3</v>
      </c>
      <c r="AD105" s="28"/>
      <c r="AE105" s="69"/>
      <c r="AF105" s="69"/>
      <c r="AG105" s="30"/>
      <c r="AH105" s="33"/>
      <c r="AI105" s="53"/>
    </row>
    <row r="106" spans="1:35" ht="14.25" customHeight="1" hidden="1">
      <c r="A106" s="58" t="s">
        <v>156</v>
      </c>
      <c r="B106" s="59" t="s">
        <v>150</v>
      </c>
      <c r="C106" s="28" t="s">
        <v>61</v>
      </c>
      <c r="D106" s="55">
        <f>D19/D101/12*1000</f>
        <v>69697.98689138576</v>
      </c>
      <c r="E106" s="55">
        <f>E19/E101/12*1000</f>
        <v>67117.64705882352</v>
      </c>
      <c r="F106" s="40">
        <f t="shared" si="31"/>
        <v>-2580.33983256224</v>
      </c>
      <c r="G106" s="39">
        <f t="shared" si="32"/>
        <v>96.2978273151801</v>
      </c>
      <c r="H106" s="39"/>
      <c r="I106" s="36"/>
      <c r="J106" s="58" t="s">
        <v>156</v>
      </c>
      <c r="K106" s="59" t="s">
        <v>150</v>
      </c>
      <c r="L106" s="28" t="s">
        <v>61</v>
      </c>
      <c r="M106" s="55">
        <f>M19/M101/12*1000</f>
        <v>79759.25925925926</v>
      </c>
      <c r="N106" s="55">
        <f>N19/N101/12*1000</f>
        <v>76469.13580246914</v>
      </c>
      <c r="O106" s="40">
        <f>N106-M106</f>
        <v>-3290.123456790112</v>
      </c>
      <c r="P106" s="39">
        <f>N106/M106*100</f>
        <v>95.87493228078323</v>
      </c>
      <c r="Q106" s="39"/>
      <c r="R106" s="36"/>
      <c r="S106" s="58" t="s">
        <v>156</v>
      </c>
      <c r="T106" s="59" t="s">
        <v>150</v>
      </c>
      <c r="U106" s="28" t="s">
        <v>61</v>
      </c>
      <c r="V106" s="55">
        <f>V19/V101/12*1000</f>
        <v>68116.58653846153</v>
      </c>
      <c r="W106" s="55">
        <f>W19/W101/12*1000</f>
        <v>65403.84615384615</v>
      </c>
      <c r="X106" s="40">
        <f>W106-V106</f>
        <v>-2712.740384615383</v>
      </c>
      <c r="Y106" s="39">
        <f>W106/V106*100</f>
        <v>96.0175039260318</v>
      </c>
      <c r="Z106" s="39"/>
      <c r="AA106" s="36"/>
      <c r="AB106" s="58" t="s">
        <v>156</v>
      </c>
      <c r="AC106" s="59" t="s">
        <v>150</v>
      </c>
      <c r="AD106" s="28" t="s">
        <v>61</v>
      </c>
      <c r="AE106" s="55">
        <f>AE19/AE101/12*1000</f>
        <v>69601.07163000564</v>
      </c>
      <c r="AF106" s="55">
        <f>AF19/AF101/12*1000</f>
        <v>66941.86373873874</v>
      </c>
      <c r="AG106" s="30">
        <f t="shared" si="26"/>
        <v>-2659.207891266895</v>
      </c>
      <c r="AH106" s="33">
        <f t="shared" si="27"/>
        <v>0.9617935783316232</v>
      </c>
      <c r="AI106" s="53"/>
    </row>
    <row r="107" spans="1:35" ht="14.25" customHeight="1" hidden="1">
      <c r="A107" s="58" t="s">
        <v>157</v>
      </c>
      <c r="B107" s="59" t="s">
        <v>152</v>
      </c>
      <c r="C107" s="28" t="s">
        <v>61</v>
      </c>
      <c r="D107" s="55">
        <f>D49/D102/12*1000-2</f>
        <v>91186.88888888888</v>
      </c>
      <c r="E107" s="55">
        <f>E49/E102/12*1000</f>
        <v>88888.8888888889</v>
      </c>
      <c r="F107" s="40">
        <f t="shared" si="31"/>
        <v>-2297.999999999971</v>
      </c>
      <c r="G107" s="39">
        <f t="shared" si="32"/>
        <v>97.47990086294085</v>
      </c>
      <c r="H107" s="39"/>
      <c r="I107" s="36"/>
      <c r="J107" s="58" t="s">
        <v>157</v>
      </c>
      <c r="K107" s="59" t="s">
        <v>152</v>
      </c>
      <c r="L107" s="28" t="s">
        <v>61</v>
      </c>
      <c r="M107" s="55">
        <f>M49/M102/12*1000</f>
        <v>88154.76190476191</v>
      </c>
      <c r="N107" s="55">
        <f>N49/N102/12*1000</f>
        <v>100250</v>
      </c>
      <c r="O107" s="40">
        <f>N107-M107</f>
        <v>12095.238095238092</v>
      </c>
      <c r="P107" s="39">
        <f>N107/M107*100</f>
        <v>113.72045914922349</v>
      </c>
      <c r="Q107" s="39"/>
      <c r="R107" s="36"/>
      <c r="S107" s="58" t="s">
        <v>157</v>
      </c>
      <c r="T107" s="59" t="s">
        <v>152</v>
      </c>
      <c r="U107" s="28" t="s">
        <v>61</v>
      </c>
      <c r="V107" s="55">
        <f>V49/V102/12*1000-1</f>
        <v>88525.04166666667</v>
      </c>
      <c r="W107" s="55">
        <f>W49/W102/12*1000</f>
        <v>81235.29411764706</v>
      </c>
      <c r="X107" s="40">
        <f>W107-V107</f>
        <v>-7289.747549019608</v>
      </c>
      <c r="Y107" s="39">
        <f>W107/V107*100</f>
        <v>91.76532717548045</v>
      </c>
      <c r="Z107" s="39"/>
      <c r="AA107" s="36"/>
      <c r="AB107" s="58" t="s">
        <v>157</v>
      </c>
      <c r="AC107" s="59" t="s">
        <v>152</v>
      </c>
      <c r="AD107" s="28" t="s">
        <v>61</v>
      </c>
      <c r="AE107" s="55">
        <f>AE49/AE102/12*1000</f>
        <v>89508.77192982456</v>
      </c>
      <c r="AF107" s="55">
        <f>AF49/AF102/12*1000</f>
        <v>87258.77192982456</v>
      </c>
      <c r="AG107" s="30">
        <f t="shared" si="26"/>
        <v>-2250</v>
      </c>
      <c r="AH107" s="33">
        <f t="shared" si="27"/>
        <v>0.9748627989023912</v>
      </c>
      <c r="AI107" s="53"/>
    </row>
    <row r="108" spans="1:35" ht="14.25" customHeight="1" hidden="1">
      <c r="A108" s="58" t="s">
        <v>158</v>
      </c>
      <c r="B108" s="59" t="s">
        <v>159</v>
      </c>
      <c r="C108" s="28" t="s">
        <v>61</v>
      </c>
      <c r="D108" s="55">
        <f>D72/D103/12*1000-1</f>
        <v>44344.58823529412</v>
      </c>
      <c r="E108" s="55">
        <f>E72/E103/12*1000</f>
        <v>44382.35294117647</v>
      </c>
      <c r="F108" s="40">
        <f t="shared" si="31"/>
        <v>37.76470588234952</v>
      </c>
      <c r="G108" s="39">
        <f t="shared" si="32"/>
        <v>100.08516192704727</v>
      </c>
      <c r="H108" s="39"/>
      <c r="I108" s="36"/>
      <c r="J108" s="58" t="s">
        <v>158</v>
      </c>
      <c r="K108" s="59" t="s">
        <v>159</v>
      </c>
      <c r="L108" s="28" t="s">
        <v>61</v>
      </c>
      <c r="M108" s="55">
        <f>M72/M103/12*1000+6</f>
        <v>39767.90476190476</v>
      </c>
      <c r="N108" s="55">
        <f>N72/N103/12*1000</f>
        <v>39797.619047619046</v>
      </c>
      <c r="O108" s="40">
        <f>N108-M108</f>
        <v>29.714285714282596</v>
      </c>
      <c r="P108" s="39">
        <f>N108/M108*100</f>
        <v>100.07471926391945</v>
      </c>
      <c r="Q108" s="39"/>
      <c r="R108" s="36"/>
      <c r="S108" s="58" t="s">
        <v>158</v>
      </c>
      <c r="T108" s="59" t="s">
        <v>159</v>
      </c>
      <c r="U108" s="28" t="s">
        <v>61</v>
      </c>
      <c r="V108" s="55">
        <f>V72/V103/12*1000</f>
        <v>33852.27272727273</v>
      </c>
      <c r="W108" s="55">
        <f>W72/W103/12*1000</f>
        <v>33905.30303030303</v>
      </c>
      <c r="X108" s="40">
        <f>W108-V108</f>
        <v>53.03030303030391</v>
      </c>
      <c r="Y108" s="39">
        <f>W108/V108*100</f>
        <v>100.15665212039835</v>
      </c>
      <c r="Z108" s="39"/>
      <c r="AA108" s="36"/>
      <c r="AB108" s="58" t="s">
        <v>158</v>
      </c>
      <c r="AC108" s="59" t="s">
        <v>159</v>
      </c>
      <c r="AD108" s="28" t="s">
        <v>61</v>
      </c>
      <c r="AE108" s="55">
        <f>AE72/AE103/12*1000</f>
        <v>40171.95767195767</v>
      </c>
      <c r="AF108" s="55">
        <f>AF72/AF103/12*1000</f>
        <v>40214.28571428572</v>
      </c>
      <c r="AG108" s="30">
        <f t="shared" si="26"/>
        <v>42.32804232804483</v>
      </c>
      <c r="AH108" s="33">
        <f t="shared" si="27"/>
        <v>1.0010536713862366</v>
      </c>
      <c r="AI108" s="53"/>
    </row>
    <row r="109" spans="1:35" ht="10.5" customHeight="1">
      <c r="A109" s="19"/>
      <c r="B109" s="49"/>
      <c r="C109" s="21"/>
      <c r="D109" s="50"/>
      <c r="E109" s="50"/>
      <c r="F109" s="51"/>
      <c r="G109" s="52"/>
      <c r="H109" s="52"/>
      <c r="I109" s="53"/>
      <c r="J109" s="19"/>
      <c r="K109" s="49"/>
      <c r="L109" s="21"/>
      <c r="M109" s="50"/>
      <c r="N109" s="50"/>
      <c r="O109" s="51"/>
      <c r="P109" s="52"/>
      <c r="Q109" s="52"/>
      <c r="R109" s="53"/>
      <c r="S109" s="21"/>
      <c r="T109" s="49"/>
      <c r="U109" s="21"/>
      <c r="V109" s="50"/>
      <c r="W109" s="50"/>
      <c r="X109" s="51"/>
      <c r="Y109" s="52"/>
      <c r="Z109" s="52"/>
      <c r="AA109" s="53"/>
      <c r="AB109" s="19"/>
      <c r="AC109" s="49"/>
      <c r="AD109" s="21"/>
      <c r="AE109" s="50">
        <f>AE77+AE55+AE27</f>
        <v>600794</v>
      </c>
      <c r="AF109" s="50"/>
      <c r="AG109" s="51"/>
      <c r="AH109" s="52"/>
      <c r="AI109" s="53"/>
    </row>
    <row r="110" spans="1:34" ht="15" customHeight="1">
      <c r="A110" s="110" t="s">
        <v>176</v>
      </c>
      <c r="B110" s="110"/>
      <c r="C110" s="13"/>
      <c r="D110" s="110" t="s">
        <v>177</v>
      </c>
      <c r="E110" s="110"/>
      <c r="F110" s="110"/>
      <c r="G110" s="20"/>
      <c r="H110" s="20"/>
      <c r="I110" s="16"/>
      <c r="J110" s="110" t="s">
        <v>176</v>
      </c>
      <c r="K110" s="110"/>
      <c r="L110" s="13"/>
      <c r="M110" s="110" t="s">
        <v>177</v>
      </c>
      <c r="N110" s="110"/>
      <c r="O110" s="110"/>
      <c r="P110" s="20"/>
      <c r="Q110" s="20"/>
      <c r="R110" s="16"/>
      <c r="S110" s="110" t="s">
        <v>176</v>
      </c>
      <c r="T110" s="110"/>
      <c r="U110" s="13"/>
      <c r="V110" s="110" t="s">
        <v>177</v>
      </c>
      <c r="W110" s="110"/>
      <c r="X110" s="110"/>
      <c r="Y110" s="20"/>
      <c r="Z110" s="20"/>
      <c r="AA110" s="16"/>
      <c r="AB110" s="110" t="s">
        <v>23</v>
      </c>
      <c r="AC110" s="110"/>
      <c r="AD110" s="13"/>
      <c r="AE110" s="9"/>
      <c r="AF110" s="16"/>
      <c r="AG110" s="111" t="s">
        <v>186</v>
      </c>
      <c r="AH110" s="111"/>
    </row>
    <row r="111" spans="1:34" ht="11.25">
      <c r="A111" s="110" t="s">
        <v>178</v>
      </c>
      <c r="B111" s="110"/>
      <c r="C111" s="9"/>
      <c r="D111" s="106" t="s">
        <v>179</v>
      </c>
      <c r="E111" s="106"/>
      <c r="F111" s="106"/>
      <c r="G111" s="106"/>
      <c r="H111" s="9"/>
      <c r="I111" s="16"/>
      <c r="J111" s="110" t="s">
        <v>178</v>
      </c>
      <c r="K111" s="110"/>
      <c r="L111" s="9"/>
      <c r="M111" s="106" t="s">
        <v>179</v>
      </c>
      <c r="N111" s="107"/>
      <c r="O111" s="107"/>
      <c r="P111" s="107"/>
      <c r="Q111" s="9"/>
      <c r="R111" s="16"/>
      <c r="S111" s="110" t="s">
        <v>178</v>
      </c>
      <c r="T111" s="110"/>
      <c r="U111" s="9"/>
      <c r="V111" s="106" t="s">
        <v>179</v>
      </c>
      <c r="W111" s="107"/>
      <c r="X111" s="107"/>
      <c r="Y111" s="107"/>
      <c r="Z111" s="9"/>
      <c r="AA111" s="16"/>
      <c r="AB111" s="110" t="s">
        <v>162</v>
      </c>
      <c r="AC111" s="110"/>
      <c r="AD111" s="9"/>
      <c r="AE111" s="9"/>
      <c r="AF111" s="16"/>
      <c r="AG111" s="111" t="s">
        <v>44</v>
      </c>
      <c r="AH111" s="111"/>
    </row>
    <row r="112" spans="1:34" ht="11.25">
      <c r="A112" s="110" t="s">
        <v>180</v>
      </c>
      <c r="B112" s="110"/>
      <c r="C112" s="9"/>
      <c r="D112" s="9" t="s">
        <v>181</v>
      </c>
      <c r="E112" s="16"/>
      <c r="F112" s="111"/>
      <c r="G112" s="111"/>
      <c r="H112" s="16"/>
      <c r="I112" s="16"/>
      <c r="J112" s="110" t="s">
        <v>180</v>
      </c>
      <c r="K112" s="110"/>
      <c r="L112" s="9"/>
      <c r="M112" s="9" t="s">
        <v>181</v>
      </c>
      <c r="N112" s="16"/>
      <c r="O112" s="111"/>
      <c r="P112" s="111"/>
      <c r="Q112" s="16"/>
      <c r="R112" s="16"/>
      <c r="S112" s="110" t="s">
        <v>180</v>
      </c>
      <c r="T112" s="110"/>
      <c r="U112" s="9"/>
      <c r="V112" s="9" t="s">
        <v>181</v>
      </c>
      <c r="W112" s="16"/>
      <c r="X112" s="111"/>
      <c r="Y112" s="111"/>
      <c r="Z112" s="16"/>
      <c r="AA112" s="16"/>
      <c r="AB112" s="110" t="s">
        <v>168</v>
      </c>
      <c r="AC112" s="110"/>
      <c r="AD112" s="9"/>
      <c r="AE112" s="9"/>
      <c r="AF112" s="16"/>
      <c r="AG112" s="111" t="s">
        <v>43</v>
      </c>
      <c r="AH112" s="111"/>
    </row>
    <row r="113" spans="1:29" ht="11.25">
      <c r="A113" s="109" t="s">
        <v>182</v>
      </c>
      <c r="B113" s="109"/>
      <c r="D113" s="1" t="s">
        <v>183</v>
      </c>
      <c r="E113" s="6"/>
      <c r="F113" s="6"/>
      <c r="I113" s="6"/>
      <c r="J113" s="109" t="s">
        <v>182</v>
      </c>
      <c r="K113" s="109"/>
      <c r="M113" s="1" t="s">
        <v>183</v>
      </c>
      <c r="S113" s="109" t="s">
        <v>182</v>
      </c>
      <c r="T113" s="109"/>
      <c r="V113" s="1" t="s">
        <v>183</v>
      </c>
      <c r="AB113" s="8"/>
      <c r="AC113" s="10"/>
    </row>
    <row r="114" spans="10:29" ht="20.25" customHeight="1">
      <c r="J114" s="8"/>
      <c r="K114" s="10"/>
      <c r="S114" s="8"/>
      <c r="T114" s="10"/>
      <c r="AB114" s="8"/>
      <c r="AC114" s="10"/>
    </row>
    <row r="115" spans="2:29" ht="20.25" customHeight="1">
      <c r="B115" s="103"/>
      <c r="D115" s="6"/>
      <c r="J115" s="8"/>
      <c r="K115" s="10"/>
      <c r="M115" s="6"/>
      <c r="S115" s="8"/>
      <c r="T115" s="10"/>
      <c r="V115" s="6"/>
      <c r="AB115" s="8"/>
      <c r="AC115" s="10"/>
    </row>
    <row r="116" spans="4:29" ht="20.25" customHeight="1">
      <c r="D116" s="6"/>
      <c r="J116" s="8"/>
      <c r="K116" s="10"/>
      <c r="M116" s="6"/>
      <c r="S116" s="8"/>
      <c r="T116" s="10"/>
      <c r="V116" s="6"/>
      <c r="AB116" s="8"/>
      <c r="AC116" s="10"/>
    </row>
    <row r="117" spans="10:29" ht="20.25" customHeight="1">
      <c r="J117" s="8"/>
      <c r="K117" s="10"/>
      <c r="S117" s="8"/>
      <c r="T117" s="10"/>
      <c r="AB117" s="8"/>
      <c r="AC117" s="10"/>
    </row>
    <row r="118" spans="10:29" ht="20.25" customHeight="1">
      <c r="J118" s="8"/>
      <c r="K118" s="10"/>
      <c r="S118" s="8"/>
      <c r="T118" s="10"/>
      <c r="AB118" s="8"/>
      <c r="AC118" s="10"/>
    </row>
    <row r="119" spans="10:29" ht="20.25" customHeight="1">
      <c r="J119" s="8"/>
      <c r="K119" s="10"/>
      <c r="S119" s="8"/>
      <c r="T119" s="10"/>
      <c r="AB119" s="8"/>
      <c r="AC119" s="10"/>
    </row>
    <row r="120" spans="10:29" ht="20.25" customHeight="1">
      <c r="J120" s="8"/>
      <c r="K120" s="10"/>
      <c r="S120" s="8"/>
      <c r="T120" s="10"/>
      <c r="AB120" s="8"/>
      <c r="AC120" s="10"/>
    </row>
    <row r="121" spans="1:71" s="15" customFormat="1" ht="20.25" customHeight="1">
      <c r="A121" s="8"/>
      <c r="B121" s="10"/>
      <c r="C121" s="1"/>
      <c r="D121" s="1"/>
      <c r="E121" s="1"/>
      <c r="F121" s="1"/>
      <c r="G121" s="24"/>
      <c r="H121" s="24"/>
      <c r="I121" s="1"/>
      <c r="J121" s="8"/>
      <c r="K121" s="10"/>
      <c r="M121" s="1"/>
      <c r="N121" s="6"/>
      <c r="O121" s="6"/>
      <c r="P121" s="24"/>
      <c r="Q121" s="24"/>
      <c r="R121" s="6"/>
      <c r="S121" s="8"/>
      <c r="T121" s="10"/>
      <c r="V121" s="1"/>
      <c r="W121" s="6"/>
      <c r="X121" s="6"/>
      <c r="Y121" s="24"/>
      <c r="Z121" s="24"/>
      <c r="AA121" s="6"/>
      <c r="AB121" s="8"/>
      <c r="AC121" s="10"/>
      <c r="AE121" s="1"/>
      <c r="AF121" s="1"/>
      <c r="AG121" s="1"/>
      <c r="AH121" s="24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s="15" customFormat="1" ht="20.25" customHeight="1">
      <c r="A122" s="8"/>
      <c r="B122" s="10"/>
      <c r="C122" s="1"/>
      <c r="D122" s="1"/>
      <c r="E122" s="1"/>
      <c r="F122" s="1"/>
      <c r="G122" s="24"/>
      <c r="H122" s="24"/>
      <c r="I122" s="1"/>
      <c r="J122" s="8"/>
      <c r="K122" s="10"/>
      <c r="M122" s="1"/>
      <c r="N122" s="6"/>
      <c r="O122" s="6"/>
      <c r="P122" s="24"/>
      <c r="Q122" s="24"/>
      <c r="R122" s="6"/>
      <c r="S122" s="8"/>
      <c r="T122" s="10"/>
      <c r="V122" s="1"/>
      <c r="W122" s="6"/>
      <c r="X122" s="6"/>
      <c r="Y122" s="24"/>
      <c r="Z122" s="24"/>
      <c r="AA122" s="6"/>
      <c r="AB122" s="8"/>
      <c r="AC122" s="10"/>
      <c r="AE122" s="1"/>
      <c r="AF122" s="1"/>
      <c r="AG122" s="1"/>
      <c r="AH122" s="24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s="15" customFormat="1" ht="20.25" customHeight="1">
      <c r="A123" s="8"/>
      <c r="B123" s="10"/>
      <c r="C123" s="1"/>
      <c r="D123" s="1"/>
      <c r="E123" s="1"/>
      <c r="F123" s="1"/>
      <c r="G123" s="24"/>
      <c r="H123" s="24"/>
      <c r="I123" s="1"/>
      <c r="J123" s="8"/>
      <c r="K123" s="10"/>
      <c r="M123" s="1"/>
      <c r="N123" s="6"/>
      <c r="O123" s="6"/>
      <c r="P123" s="24"/>
      <c r="Q123" s="24"/>
      <c r="R123" s="6"/>
      <c r="S123" s="8"/>
      <c r="T123" s="10"/>
      <c r="V123" s="1"/>
      <c r="W123" s="6"/>
      <c r="X123" s="6"/>
      <c r="Y123" s="24"/>
      <c r="Z123" s="24"/>
      <c r="AA123" s="6"/>
      <c r="AB123" s="8"/>
      <c r="AC123" s="10"/>
      <c r="AE123" s="1"/>
      <c r="AF123" s="1"/>
      <c r="AG123" s="1"/>
      <c r="AH123" s="24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s="15" customFormat="1" ht="20.25" customHeight="1">
      <c r="A124" s="8"/>
      <c r="B124" s="10"/>
      <c r="C124" s="1"/>
      <c r="D124" s="1"/>
      <c r="E124" s="1"/>
      <c r="F124" s="1"/>
      <c r="G124" s="24"/>
      <c r="H124" s="24"/>
      <c r="I124" s="1"/>
      <c r="J124" s="8"/>
      <c r="K124" s="10"/>
      <c r="M124" s="1"/>
      <c r="N124" s="6"/>
      <c r="O124" s="6"/>
      <c r="P124" s="24"/>
      <c r="Q124" s="24"/>
      <c r="R124" s="6"/>
      <c r="S124" s="8"/>
      <c r="T124" s="10"/>
      <c r="V124" s="1"/>
      <c r="W124" s="6"/>
      <c r="X124" s="6"/>
      <c r="Y124" s="24"/>
      <c r="Z124" s="24"/>
      <c r="AA124" s="6"/>
      <c r="AB124" s="8"/>
      <c r="AC124" s="10"/>
      <c r="AE124" s="1"/>
      <c r="AF124" s="1"/>
      <c r="AG124" s="1"/>
      <c r="AH124" s="24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s="15" customFormat="1" ht="20.25" customHeight="1">
      <c r="A125" s="8"/>
      <c r="B125" s="10"/>
      <c r="C125" s="1"/>
      <c r="D125" s="1"/>
      <c r="E125" s="1"/>
      <c r="F125" s="1"/>
      <c r="G125" s="24"/>
      <c r="H125" s="24"/>
      <c r="I125" s="1"/>
      <c r="J125" s="8"/>
      <c r="K125" s="10"/>
      <c r="M125" s="1"/>
      <c r="N125" s="6"/>
      <c r="O125" s="6"/>
      <c r="P125" s="24"/>
      <c r="Q125" s="24"/>
      <c r="R125" s="6"/>
      <c r="S125" s="8"/>
      <c r="T125" s="10"/>
      <c r="V125" s="1"/>
      <c r="W125" s="6"/>
      <c r="X125" s="6"/>
      <c r="Y125" s="24"/>
      <c r="Z125" s="24"/>
      <c r="AA125" s="6"/>
      <c r="AB125" s="8"/>
      <c r="AC125" s="10"/>
      <c r="AE125" s="1"/>
      <c r="AF125" s="1"/>
      <c r="AG125" s="1"/>
      <c r="AH125" s="24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s="15" customFormat="1" ht="20.25" customHeight="1">
      <c r="A126" s="8"/>
      <c r="B126" s="10"/>
      <c r="C126" s="1"/>
      <c r="D126" s="1"/>
      <c r="E126" s="1"/>
      <c r="F126" s="1"/>
      <c r="G126" s="24"/>
      <c r="H126" s="24"/>
      <c r="I126" s="1"/>
      <c r="J126" s="8"/>
      <c r="K126" s="10"/>
      <c r="M126" s="1"/>
      <c r="N126" s="6"/>
      <c r="O126" s="6"/>
      <c r="P126" s="24"/>
      <c r="Q126" s="24"/>
      <c r="R126" s="6"/>
      <c r="S126" s="8"/>
      <c r="T126" s="10"/>
      <c r="V126" s="1"/>
      <c r="W126" s="6"/>
      <c r="X126" s="6"/>
      <c r="Y126" s="24"/>
      <c r="Z126" s="24"/>
      <c r="AA126" s="6"/>
      <c r="AB126" s="8"/>
      <c r="AC126" s="10"/>
      <c r="AE126" s="1"/>
      <c r="AF126" s="1"/>
      <c r="AG126" s="1"/>
      <c r="AH126" s="24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s="15" customFormat="1" ht="20.25" customHeight="1">
      <c r="A127" s="8"/>
      <c r="B127" s="10"/>
      <c r="C127" s="1"/>
      <c r="D127" s="1"/>
      <c r="E127" s="1"/>
      <c r="F127" s="1"/>
      <c r="G127" s="24"/>
      <c r="H127" s="24"/>
      <c r="I127" s="1"/>
      <c r="J127" s="8"/>
      <c r="K127" s="10"/>
      <c r="M127" s="1"/>
      <c r="N127" s="6"/>
      <c r="O127" s="6"/>
      <c r="P127" s="24"/>
      <c r="Q127" s="24"/>
      <c r="R127" s="6"/>
      <c r="S127" s="8"/>
      <c r="T127" s="10"/>
      <c r="V127" s="1"/>
      <c r="W127" s="6"/>
      <c r="X127" s="6"/>
      <c r="Y127" s="24"/>
      <c r="Z127" s="24"/>
      <c r="AA127" s="6"/>
      <c r="AB127" s="8"/>
      <c r="AC127" s="10"/>
      <c r="AE127" s="1"/>
      <c r="AF127" s="1"/>
      <c r="AG127" s="1"/>
      <c r="AH127" s="24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</sheetData>
  <sheetProtection/>
  <mergeCells count="42">
    <mergeCell ref="B1:I1"/>
    <mergeCell ref="AB1:AH1"/>
    <mergeCell ref="AJ1:AP1"/>
    <mergeCell ref="K2:R2"/>
    <mergeCell ref="T95:T96"/>
    <mergeCell ref="AG110:AH110"/>
    <mergeCell ref="V110:X110"/>
    <mergeCell ref="M110:O110"/>
    <mergeCell ref="S110:T110"/>
    <mergeCell ref="BM1:BY1"/>
    <mergeCell ref="K1:R1"/>
    <mergeCell ref="S1:AA1"/>
    <mergeCell ref="AX1:BK1"/>
    <mergeCell ref="AB110:AC110"/>
    <mergeCell ref="AB95:AB96"/>
    <mergeCell ref="AC95:AC96"/>
    <mergeCell ref="T2:U2"/>
    <mergeCell ref="AC2:AD2"/>
    <mergeCell ref="S95:S96"/>
    <mergeCell ref="A111:B111"/>
    <mergeCell ref="A95:A96"/>
    <mergeCell ref="B95:B96"/>
    <mergeCell ref="J95:J96"/>
    <mergeCell ref="K95:K96"/>
    <mergeCell ref="A110:B110"/>
    <mergeCell ref="J110:K110"/>
    <mergeCell ref="J111:K111"/>
    <mergeCell ref="S111:T111"/>
    <mergeCell ref="F112:G112"/>
    <mergeCell ref="J112:K112"/>
    <mergeCell ref="O112:P112"/>
    <mergeCell ref="D110:F110"/>
    <mergeCell ref="AG111:AH111"/>
    <mergeCell ref="AB111:AC111"/>
    <mergeCell ref="S113:T113"/>
    <mergeCell ref="AB112:AC112"/>
    <mergeCell ref="AG112:AH112"/>
    <mergeCell ref="A112:B112"/>
    <mergeCell ref="X112:Y112"/>
    <mergeCell ref="S112:T112"/>
    <mergeCell ref="J113:K113"/>
    <mergeCell ref="A113:B113"/>
  </mergeCells>
  <printOptions/>
  <pageMargins left="0.03937007874015748" right="0" top="0.7480314960629921" bottom="0" header="0.31496062992125984" footer="0"/>
  <pageSetup horizontalDpi="600" verticalDpi="600" orientation="landscape" paperSize="9" scale="98" r:id="rId1"/>
  <rowBreaks count="3" manualBreakCount="3">
    <brk id="26" max="33" man="1"/>
    <brk id="48" max="33" man="1"/>
    <brk id="72" max="33" man="1"/>
  </rowBreaks>
  <colBreaks count="3" manualBreakCount="3">
    <brk id="9" max="112" man="1"/>
    <brk id="18" max="112" man="1"/>
    <brk id="2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2018-04-25T11:40:06Z</cp:lastPrinted>
  <dcterms:created xsi:type="dcterms:W3CDTF">1996-10-08T23:32:33Z</dcterms:created>
  <dcterms:modified xsi:type="dcterms:W3CDTF">2018-04-28T02:27:22Z</dcterms:modified>
  <cp:category/>
  <cp:version/>
  <cp:contentType/>
  <cp:contentStatus/>
</cp:coreProperties>
</file>